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tabRatio="866" firstSheet="3" activeTab="8"/>
  </bookViews>
  <sheets>
    <sheet name="1.a,b,c-PIP Norms" sheetId="11" r:id="rId1"/>
    <sheet name="HR-Stat Ass M&amp;E" sheetId="17" r:id="rId2"/>
    <sheet name="HR-DEO" sheetId="18" r:id="rId3"/>
    <sheet name="2-3.a,b,c,d,e-PIP Norms" sheetId="19" r:id="rId4"/>
    <sheet name="Comp" sheetId="20" r:id="rId5"/>
    <sheet name="VSAT" sheetId="21" r:id="rId6"/>
    <sheet name="Internet" sheetId="39" r:id="rId7"/>
    <sheet name="4.a.b.c-PIP Norms" sheetId="23" r:id="rId8"/>
    <sheet name="Printing of RCH Reg" sheetId="24" r:id="rId9"/>
    <sheet name="RCH-Manual" sheetId="25" r:id="rId10"/>
    <sheet name="Printing of MCTS Format" sheetId="26" r:id="rId11"/>
    <sheet name="Printing HMIS" sheetId="27" r:id="rId12"/>
    <sheet name="5.a.b.c-PIP Norms" sheetId="28" r:id="rId13"/>
    <sheet name="Training-State Level" sheetId="29" r:id="rId14"/>
    <sheet name="Training-District Level" sheetId="30" r:id="rId15"/>
    <sheet name="Training-Block Level" sheetId="31" r:id="rId16"/>
    <sheet name="6.-PIP Norms" sheetId="32" r:id="rId17"/>
    <sheet name="Mobility Support" sheetId="33" r:id="rId18"/>
    <sheet name="7.a,b-PIP Norms" sheetId="34" r:id="rId19"/>
    <sheet name="CallCentre-Outsourc" sheetId="35" r:id="rId20"/>
    <sheet name="CallCentre-Inhouse" sheetId="36" r:id="rId21"/>
    <sheet name="8.b-PIP Norms" sheetId="37" r:id="rId22"/>
    <sheet name="CUG" sheetId="38" r:id="rId23"/>
    <sheet name="State Level" sheetId="1" state="hidden" r:id="rId24"/>
    <sheet name="District Level" sheetId="2" state="hidden" r:id="rId25"/>
    <sheet name="Block level" sheetId="3" state="hidden" r:id="rId26"/>
    <sheet name="Civil registration" sheetId="42" r:id="rId27"/>
    <sheet name="Sheet1" sheetId="43" r:id="rId28"/>
  </sheets>
  <definedNames>
    <definedName name="_xlnm.Print_Area" localSheetId="11">'Printing HMIS'!$B$3:$AT$3</definedName>
    <definedName name="_xlnm.Print_Titles" localSheetId="11">'Printing HMIS'!#REF!</definedName>
  </definedNames>
  <calcPr calcId="144525"/>
</workbook>
</file>

<file path=xl/calcChain.xml><?xml version="1.0" encoding="utf-8"?>
<calcChain xmlns="http://schemas.openxmlformats.org/spreadsheetml/2006/main">
  <c r="F11" i="42" l="1"/>
  <c r="C11" i="42"/>
  <c r="K10" i="42"/>
  <c r="K11" i="42" s="1"/>
  <c r="J10" i="42"/>
  <c r="J11" i="42" s="1"/>
  <c r="I10" i="42"/>
  <c r="I11" i="42" s="1"/>
  <c r="H10" i="42"/>
  <c r="H11" i="42" s="1"/>
  <c r="G10" i="42"/>
  <c r="G11" i="42" s="1"/>
  <c r="F10" i="42"/>
  <c r="E10" i="42"/>
  <c r="E11" i="42" s="1"/>
  <c r="D10" i="42"/>
  <c r="D11" i="42" s="1"/>
  <c r="C10" i="42"/>
  <c r="L9" i="42"/>
  <c r="L10" i="42" s="1"/>
  <c r="L11" i="42" s="1"/>
  <c r="I16" i="33"/>
  <c r="E16" i="33"/>
  <c r="C16" i="33"/>
  <c r="I15" i="33"/>
  <c r="I14" i="33"/>
  <c r="I13" i="33"/>
  <c r="I12" i="33"/>
  <c r="I11" i="33"/>
  <c r="I10" i="33"/>
  <c r="I9" i="33"/>
  <c r="I8" i="33"/>
  <c r="I7" i="33"/>
  <c r="S17" i="31"/>
  <c r="O17" i="31"/>
  <c r="M17" i="31"/>
  <c r="K17" i="31"/>
  <c r="I17" i="31"/>
  <c r="H17" i="31"/>
  <c r="G17" i="31"/>
  <c r="F17" i="31"/>
  <c r="E17" i="31"/>
  <c r="D17" i="31"/>
  <c r="C17" i="31"/>
  <c r="U16" i="31"/>
  <c r="R16" i="31"/>
  <c r="U15" i="31"/>
  <c r="R15" i="31"/>
  <c r="U14" i="31"/>
  <c r="R14" i="31"/>
  <c r="U13" i="31"/>
  <c r="R13" i="31"/>
  <c r="J13" i="31"/>
  <c r="U12" i="31"/>
  <c r="R12" i="31"/>
  <c r="U11" i="31"/>
  <c r="R11" i="31"/>
  <c r="U10" i="31"/>
  <c r="R10" i="31"/>
  <c r="U9" i="31"/>
  <c r="R9" i="31"/>
  <c r="J9" i="31"/>
  <c r="U8" i="31"/>
  <c r="R8" i="31"/>
  <c r="J8" i="31"/>
  <c r="J17" i="31" s="1"/>
  <c r="L17" i="30"/>
  <c r="K17" i="30"/>
  <c r="J17" i="30"/>
  <c r="I17" i="30"/>
  <c r="H17" i="30"/>
  <c r="G17" i="30"/>
  <c r="F17" i="30"/>
  <c r="E17" i="30"/>
  <c r="D17" i="30"/>
  <c r="C17" i="30"/>
  <c r="N16" i="30"/>
  <c r="N15" i="30"/>
  <c r="N14" i="30"/>
  <c r="N13" i="30"/>
  <c r="N12" i="30"/>
  <c r="N11" i="30"/>
  <c r="N10" i="30"/>
  <c r="N9" i="30"/>
  <c r="N8" i="30"/>
  <c r="N7" i="30"/>
  <c r="J25" i="39"/>
  <c r="G25" i="39"/>
  <c r="F25" i="39"/>
  <c r="E25" i="39"/>
  <c r="D25" i="39"/>
  <c r="C25" i="39"/>
  <c r="G21" i="39"/>
  <c r="F21" i="39"/>
  <c r="E21" i="39"/>
  <c r="D21" i="39"/>
  <c r="C21" i="39"/>
  <c r="J20" i="39"/>
  <c r="J17" i="39"/>
  <c r="J16" i="39"/>
  <c r="J15" i="39"/>
  <c r="J14" i="39"/>
  <c r="J13" i="39"/>
  <c r="J12" i="39"/>
  <c r="J11" i="39"/>
  <c r="J10" i="39"/>
  <c r="J9" i="39"/>
  <c r="J7" i="39"/>
  <c r="AA38" i="20"/>
  <c r="Z38" i="20"/>
  <c r="Y38" i="20"/>
  <c r="X38" i="20"/>
  <c r="W38" i="20"/>
  <c r="V38" i="20"/>
  <c r="U38" i="20"/>
  <c r="T38" i="20"/>
  <c r="S38" i="20"/>
  <c r="R38" i="20"/>
  <c r="Q38" i="20"/>
  <c r="P38" i="20"/>
  <c r="O38" i="20"/>
  <c r="N38" i="20"/>
  <c r="M38" i="20"/>
  <c r="L38" i="20"/>
  <c r="K38" i="20"/>
  <c r="J38" i="20"/>
  <c r="I38" i="20"/>
  <c r="H38" i="20"/>
  <c r="G38" i="20"/>
  <c r="F38" i="20"/>
  <c r="E38" i="20"/>
  <c r="AC37" i="20"/>
  <c r="AB37" i="20"/>
  <c r="AC36" i="20"/>
  <c r="AB36" i="20"/>
  <c r="AC35" i="20"/>
  <c r="AB35" i="20"/>
  <c r="AC34" i="20"/>
  <c r="AC38" i="20" s="1"/>
  <c r="AB34" i="20"/>
  <c r="AB38" i="20" s="1"/>
  <c r="AC33" i="20"/>
  <c r="AB33" i="20"/>
  <c r="AC29" i="20"/>
  <c r="AB29" i="20"/>
  <c r="AC28" i="20"/>
  <c r="AB28" i="20"/>
  <c r="AC27" i="20"/>
  <c r="AB27" i="20"/>
  <c r="AC26" i="20"/>
  <c r="AB26" i="20"/>
  <c r="AC25" i="20"/>
  <c r="AB25" i="20"/>
  <c r="AC24" i="20"/>
  <c r="AB24" i="20"/>
  <c r="AC23" i="20"/>
  <c r="AB23" i="20"/>
  <c r="AC22" i="20"/>
  <c r="AB22" i="20"/>
  <c r="AC21" i="20"/>
  <c r="AB21" i="20"/>
  <c r="AC19" i="20"/>
  <c r="AB19" i="20"/>
  <c r="AC18" i="20"/>
  <c r="AB18" i="20"/>
  <c r="AC17" i="20"/>
  <c r="AB17" i="20"/>
  <c r="AC16" i="20"/>
  <c r="AB16" i="20"/>
  <c r="AC15" i="20"/>
  <c r="AB15" i="20"/>
  <c r="AC14" i="20"/>
  <c r="AB14" i="20"/>
  <c r="AC13" i="20"/>
  <c r="AB13" i="20"/>
  <c r="AC12" i="20"/>
  <c r="AB12" i="20"/>
  <c r="AC11" i="20"/>
  <c r="AB11" i="20"/>
  <c r="AC10" i="20"/>
  <c r="AB9" i="20"/>
  <c r="X9" i="20"/>
  <c r="AC9" i="20" s="1"/>
  <c r="N17" i="30" l="1"/>
  <c r="AB30" i="20"/>
  <c r="J18" i="39"/>
  <c r="J21" i="39" s="1"/>
  <c r="AC30" i="20"/>
  <c r="U17" i="31"/>
  <c r="P8" i="17"/>
  <c r="Q8" i="17" s="1"/>
  <c r="P9" i="17"/>
  <c r="Q9" i="17" s="1"/>
  <c r="P10" i="17"/>
  <c r="Q10" i="17" s="1"/>
  <c r="P11" i="17"/>
  <c r="Q11" i="17" s="1"/>
  <c r="P12" i="17"/>
  <c r="Q12" i="17" s="1"/>
  <c r="P13" i="17"/>
  <c r="Q13" i="17" s="1"/>
  <c r="P14" i="17"/>
  <c r="Q14" i="17" s="1"/>
  <c r="P15" i="17"/>
  <c r="Q15" i="17" s="1"/>
  <c r="P16" i="17"/>
  <c r="Q16" i="17" s="1"/>
  <c r="P17" i="17"/>
  <c r="Q17" i="17" s="1"/>
  <c r="P18" i="17"/>
  <c r="Q18" i="17" s="1"/>
  <c r="P19" i="17"/>
  <c r="Q19" i="17" s="1"/>
  <c r="P20" i="17"/>
  <c r="Q20" i="17" s="1"/>
  <c r="P21" i="17"/>
  <c r="Q21" i="17" s="1"/>
  <c r="P22" i="17"/>
  <c r="Q22" i="17" s="1"/>
  <c r="P23" i="17"/>
  <c r="Q23" i="17" s="1"/>
  <c r="P7" i="17"/>
  <c r="Q7" i="17" s="1"/>
  <c r="H16" i="24"/>
  <c r="C16" i="24"/>
  <c r="L15" i="26"/>
  <c r="K15" i="26"/>
  <c r="J15" i="26"/>
  <c r="F15" i="26"/>
  <c r="E15" i="26"/>
  <c r="D15" i="26"/>
  <c r="C15" i="26"/>
  <c r="O14" i="26"/>
  <c r="H14" i="26"/>
  <c r="O13" i="26"/>
  <c r="H13" i="26"/>
  <c r="O12" i="26"/>
  <c r="H12" i="26"/>
  <c r="O11" i="26"/>
  <c r="H11" i="26"/>
  <c r="O10" i="26"/>
  <c r="H10" i="26"/>
  <c r="O9" i="26"/>
  <c r="H9" i="26"/>
  <c r="O8" i="26"/>
  <c r="H8" i="26"/>
  <c r="O7" i="26"/>
  <c r="H7" i="26"/>
  <c r="O6" i="26"/>
  <c r="H6" i="26"/>
  <c r="J28" i="17"/>
  <c r="E15" i="17"/>
  <c r="G16" i="17"/>
  <c r="G17" i="17"/>
  <c r="G18" i="17"/>
  <c r="G19" i="17"/>
  <c r="G20" i="17"/>
  <c r="G21" i="17"/>
  <c r="G22" i="17"/>
  <c r="G23" i="17"/>
  <c r="G15" i="17"/>
  <c r="G7" i="17"/>
  <c r="K17" i="17"/>
  <c r="K20" i="17"/>
  <c r="K21" i="17"/>
  <c r="K15" i="17"/>
  <c r="K9" i="17"/>
  <c r="K10" i="17"/>
  <c r="K12" i="17"/>
  <c r="K11" i="17"/>
  <c r="G8" i="17"/>
  <c r="G9" i="17"/>
  <c r="G10" i="17"/>
  <c r="G11" i="17"/>
  <c r="G12" i="17"/>
  <c r="E12" i="17"/>
  <c r="E7" i="17"/>
  <c r="H7" i="17" s="1"/>
  <c r="K8" i="17"/>
  <c r="K16" i="17"/>
  <c r="K18" i="17"/>
  <c r="K19" i="17"/>
  <c r="K22" i="17"/>
  <c r="K23" i="17"/>
  <c r="E21" i="17"/>
  <c r="E22" i="17"/>
  <c r="H22" i="17" s="1"/>
  <c r="E23" i="17"/>
  <c r="H23" i="17" s="1"/>
  <c r="E20" i="17"/>
  <c r="H20" i="17" s="1"/>
  <c r="E19" i="17"/>
  <c r="H19" i="17" s="1"/>
  <c r="E18" i="17"/>
  <c r="H18" i="17" s="1"/>
  <c r="E17" i="17"/>
  <c r="E16" i="17"/>
  <c r="H16" i="17" s="1"/>
  <c r="H15" i="17"/>
  <c r="E8" i="17"/>
  <c r="H8" i="17" s="1"/>
  <c r="E9" i="17"/>
  <c r="E10" i="17"/>
  <c r="E11" i="17"/>
  <c r="H11" i="17" s="1"/>
  <c r="H21" i="17" l="1"/>
  <c r="K24" i="17"/>
  <c r="O15" i="26"/>
  <c r="H15" i="26"/>
  <c r="H17" i="17"/>
  <c r="H9" i="17"/>
  <c r="H10" i="17"/>
  <c r="I16" i="24"/>
  <c r="K15" i="24"/>
  <c r="K14" i="24"/>
  <c r="K13" i="24"/>
  <c r="K12" i="24"/>
  <c r="K11" i="24"/>
  <c r="K10" i="24"/>
  <c r="K9" i="24"/>
  <c r="K8" i="24"/>
  <c r="K7" i="24"/>
  <c r="K16" i="24" l="1"/>
  <c r="G16" i="24" l="1"/>
  <c r="AS18" i="27" l="1"/>
  <c r="AS19" i="27"/>
  <c r="AE10" i="27"/>
  <c r="AE11" i="27"/>
  <c r="AE12" i="27"/>
  <c r="AE13" i="27"/>
  <c r="AE14" i="27"/>
  <c r="AE15" i="27"/>
  <c r="AE16" i="27"/>
  <c r="AE17" i="27"/>
  <c r="AE9" i="27"/>
  <c r="AL10" i="27"/>
  <c r="AL11" i="27"/>
  <c r="AL12" i="27"/>
  <c r="AL13" i="27"/>
  <c r="AL14" i="27"/>
  <c r="AL15" i="27"/>
  <c r="AL16" i="27"/>
  <c r="AL17" i="27"/>
  <c r="AL18" i="27"/>
  <c r="AL19" i="27"/>
  <c r="AL9" i="27"/>
  <c r="AK18" i="27"/>
  <c r="AK19" i="27"/>
  <c r="AI10" i="27"/>
  <c r="AI11" i="27"/>
  <c r="AI12" i="27"/>
  <c r="AI13" i="27"/>
  <c r="AI14" i="27"/>
  <c r="AI15" i="27"/>
  <c r="AI16" i="27"/>
  <c r="AI17" i="27"/>
  <c r="AI9" i="27"/>
  <c r="AH10" i="27"/>
  <c r="AH11" i="27"/>
  <c r="AH12" i="27"/>
  <c r="AH13" i="27"/>
  <c r="AH14" i="27"/>
  <c r="AH15" i="27"/>
  <c r="AH16" i="27"/>
  <c r="AH17" i="27"/>
  <c r="AH9" i="27"/>
  <c r="P20" i="27" l="1"/>
  <c r="O20" i="27"/>
  <c r="AA10" i="27"/>
  <c r="AQ10" i="27" s="1"/>
  <c r="AA11" i="27"/>
  <c r="AQ11" i="27" s="1"/>
  <c r="AA12" i="27"/>
  <c r="AQ12" i="27" s="1"/>
  <c r="AA13" i="27"/>
  <c r="AQ13" i="27" s="1"/>
  <c r="AA14" i="27"/>
  <c r="AQ14" i="27" s="1"/>
  <c r="AA15" i="27"/>
  <c r="AQ15" i="27" s="1"/>
  <c r="AA16" i="27"/>
  <c r="AQ16" i="27" s="1"/>
  <c r="AA17" i="27"/>
  <c r="AQ17" i="27" s="1"/>
  <c r="AA18" i="27"/>
  <c r="AA19" i="27"/>
  <c r="AA9" i="27"/>
  <c r="AQ9" i="27" s="1"/>
  <c r="Z10" i="27"/>
  <c r="AP10" i="27" s="1"/>
  <c r="Z11" i="27"/>
  <c r="AP11" i="27" s="1"/>
  <c r="Z12" i="27"/>
  <c r="AP12" i="27" s="1"/>
  <c r="Z13" i="27"/>
  <c r="AP13" i="27" s="1"/>
  <c r="Z14" i="27"/>
  <c r="AP14" i="27" s="1"/>
  <c r="Z15" i="27"/>
  <c r="AP15" i="27" s="1"/>
  <c r="Z16" i="27"/>
  <c r="AP16" i="27" s="1"/>
  <c r="Z17" i="27"/>
  <c r="AP17" i="27" s="1"/>
  <c r="Z9" i="27"/>
  <c r="AP9" i="27" s="1"/>
  <c r="Y10" i="27"/>
  <c r="AO10" i="27" s="1"/>
  <c r="Y11" i="27"/>
  <c r="AO11" i="27" s="1"/>
  <c r="Y12" i="27"/>
  <c r="AO12" i="27" s="1"/>
  <c r="Y13" i="27"/>
  <c r="AO13" i="27" s="1"/>
  <c r="Y14" i="27"/>
  <c r="AO14" i="27" s="1"/>
  <c r="Y15" i="27"/>
  <c r="AO15" i="27" s="1"/>
  <c r="Y16" i="27"/>
  <c r="AO16" i="27" s="1"/>
  <c r="Y17" i="27"/>
  <c r="AO17" i="27" s="1"/>
  <c r="Y9" i="27"/>
  <c r="AO9" i="27" s="1"/>
  <c r="X10" i="27"/>
  <c r="AN10" i="27" s="1"/>
  <c r="X11" i="27"/>
  <c r="AN11" i="27" s="1"/>
  <c r="X12" i="27"/>
  <c r="AN12" i="27" s="1"/>
  <c r="X13" i="27"/>
  <c r="AN13" i="27" s="1"/>
  <c r="X14" i="27"/>
  <c r="AN14" i="27" s="1"/>
  <c r="X15" i="27"/>
  <c r="AN15" i="27" s="1"/>
  <c r="X16" i="27"/>
  <c r="AN16" i="27" s="1"/>
  <c r="X17" i="27"/>
  <c r="AN17" i="27" s="1"/>
  <c r="X9" i="27"/>
  <c r="AN9" i="27" s="1"/>
  <c r="W10" i="27"/>
  <c r="AM10" i="27" s="1"/>
  <c r="W11" i="27"/>
  <c r="AM11" i="27" s="1"/>
  <c r="W12" i="27"/>
  <c r="AM12" i="27" s="1"/>
  <c r="W13" i="27"/>
  <c r="AM13" i="27" s="1"/>
  <c r="W14" i="27"/>
  <c r="AM14" i="27" s="1"/>
  <c r="W15" i="27"/>
  <c r="AM15" i="27" s="1"/>
  <c r="W16" i="27"/>
  <c r="AM16" i="27" s="1"/>
  <c r="W17" i="27"/>
  <c r="AM17" i="27" s="1"/>
  <c r="W9" i="27"/>
  <c r="AM9" i="27" s="1"/>
  <c r="U10" i="27"/>
  <c r="AK10" i="27" s="1"/>
  <c r="U11" i="27"/>
  <c r="AK11" i="27" s="1"/>
  <c r="U12" i="27"/>
  <c r="AK12" i="27" s="1"/>
  <c r="U13" i="27"/>
  <c r="AK13" i="27" s="1"/>
  <c r="U14" i="27"/>
  <c r="AK14" i="27" s="1"/>
  <c r="U15" i="27"/>
  <c r="AK15" i="27" s="1"/>
  <c r="U16" i="27"/>
  <c r="AK16" i="27" s="1"/>
  <c r="U17" i="27"/>
  <c r="AK17" i="27" s="1"/>
  <c r="U9" i="27"/>
  <c r="AK9" i="27" s="1"/>
  <c r="AG9" i="27" s="1"/>
  <c r="T10" i="27"/>
  <c r="AJ10" i="27" s="1"/>
  <c r="T11" i="27"/>
  <c r="AJ11" i="27" s="1"/>
  <c r="T12" i="27"/>
  <c r="AJ12" i="27" s="1"/>
  <c r="T13" i="27"/>
  <c r="AJ13" i="27" s="1"/>
  <c r="T14" i="27"/>
  <c r="AJ14" i="27" s="1"/>
  <c r="T15" i="27"/>
  <c r="AJ15" i="27" s="1"/>
  <c r="T16" i="27"/>
  <c r="AJ16" i="27" s="1"/>
  <c r="T17" i="27"/>
  <c r="AJ17" i="27" s="1"/>
  <c r="T9" i="27"/>
  <c r="AJ9" i="27" s="1"/>
  <c r="D20" i="27"/>
  <c r="N16" i="27" l="1"/>
  <c r="N12" i="27"/>
  <c r="Q17" i="27"/>
  <c r="N17" i="27"/>
  <c r="N13" i="27"/>
  <c r="Q9" i="27"/>
  <c r="Q14" i="27"/>
  <c r="Q10" i="27"/>
  <c r="N9" i="27"/>
  <c r="N14" i="27"/>
  <c r="N10" i="27"/>
  <c r="Q15" i="27"/>
  <c r="Q11" i="27"/>
  <c r="Q13" i="27"/>
  <c r="AD9" i="27"/>
  <c r="N15" i="27"/>
  <c r="N11" i="27"/>
  <c r="Q16" i="27"/>
  <c r="Q12" i="27"/>
  <c r="AR20" i="27"/>
  <c r="AQ20" i="27"/>
  <c r="AP20" i="27"/>
  <c r="AO20" i="27"/>
  <c r="AN20" i="27"/>
  <c r="AM20" i="27"/>
  <c r="AL20" i="27"/>
  <c r="AK20" i="27"/>
  <c r="AJ20" i="27"/>
  <c r="AI20" i="27"/>
  <c r="AH20" i="27"/>
  <c r="AE20" i="27"/>
  <c r="AB20" i="27"/>
  <c r="AA20" i="27"/>
  <c r="Z20" i="27"/>
  <c r="Y20" i="27"/>
  <c r="X20" i="27"/>
  <c r="W20" i="27"/>
  <c r="V20" i="27"/>
  <c r="S20" i="27"/>
  <c r="R20" i="27"/>
  <c r="M20" i="27"/>
  <c r="L20" i="27"/>
  <c r="H20" i="27"/>
  <c r="G20" i="27"/>
  <c r="F20" i="27"/>
  <c r="E20" i="27"/>
  <c r="C20" i="27"/>
  <c r="AF19" i="27"/>
  <c r="X19" i="27"/>
  <c r="AN19" i="27" s="1"/>
  <c r="T19" i="27"/>
  <c r="M19" i="27"/>
  <c r="AF18" i="27"/>
  <c r="X18" i="27"/>
  <c r="AN18" i="27" s="1"/>
  <c r="T18" i="27"/>
  <c r="M18" i="27"/>
  <c r="AG17" i="27"/>
  <c r="AD17" i="27"/>
  <c r="AG16" i="27"/>
  <c r="AD16" i="27"/>
  <c r="AG15" i="27"/>
  <c r="AD15" i="27"/>
  <c r="AG14" i="27"/>
  <c r="AD14" i="27"/>
  <c r="AG13" i="27"/>
  <c r="AD13" i="27"/>
  <c r="AG12" i="27"/>
  <c r="AD12" i="27"/>
  <c r="AG11" i="27"/>
  <c r="AD11" i="27"/>
  <c r="U20" i="27"/>
  <c r="T20" i="27"/>
  <c r="AG10" i="27"/>
  <c r="AD10" i="27"/>
  <c r="I24" i="17"/>
  <c r="I26" i="17" s="1"/>
  <c r="K26" i="17" s="1"/>
  <c r="F24" i="17"/>
  <c r="F26" i="17" s="1"/>
  <c r="C24" i="17"/>
  <c r="C26" i="17" s="1"/>
  <c r="Q20" i="27" l="1"/>
  <c r="AD20" i="27"/>
  <c r="AG20" i="27"/>
  <c r="N20" i="27"/>
  <c r="AF20" i="27" l="1"/>
  <c r="G17" i="18" l="1"/>
  <c r="F17" i="18"/>
  <c r="C17" i="18"/>
  <c r="G8" i="29" l="1"/>
  <c r="J15" i="25"/>
  <c r="L15" i="25" s="1"/>
  <c r="J14" i="25"/>
  <c r="L14" i="25" s="1"/>
  <c r="J13" i="25"/>
  <c r="L13" i="25" s="1"/>
  <c r="J12" i="25"/>
  <c r="L12" i="25" s="1"/>
  <c r="J11" i="25"/>
  <c r="L11" i="25" s="1"/>
  <c r="J10" i="25"/>
  <c r="L10" i="25" s="1"/>
  <c r="J9" i="25"/>
  <c r="L9" i="25" s="1"/>
  <c r="J8" i="25"/>
  <c r="L8" i="25" s="1"/>
  <c r="J7" i="25"/>
  <c r="L7" i="25" s="1"/>
  <c r="F16" i="24" l="1"/>
  <c r="E16" i="24"/>
  <c r="O17" i="21" l="1"/>
  <c r="J17" i="21"/>
  <c r="I17" i="21"/>
  <c r="H17" i="21"/>
  <c r="F17" i="21"/>
  <c r="D17" i="21"/>
  <c r="C17" i="21"/>
  <c r="J17" i="18"/>
  <c r="D17" i="18"/>
  <c r="M17" i="18"/>
  <c r="I30" i="17"/>
  <c r="H30" i="17"/>
  <c r="G30" i="17"/>
  <c r="F30" i="17"/>
  <c r="E30" i="17"/>
  <c r="K30" i="17"/>
  <c r="F32" i="17"/>
  <c r="C32" i="17"/>
  <c r="K10" i="29"/>
  <c r="J10" i="29"/>
  <c r="I10" i="29"/>
  <c r="H10" i="29"/>
  <c r="G10" i="29"/>
  <c r="F10" i="29"/>
  <c r="E10" i="29"/>
  <c r="D10" i="29"/>
  <c r="C10" i="29"/>
  <c r="M9" i="29"/>
  <c r="M8" i="29"/>
  <c r="E24" i="17" l="1"/>
  <c r="E26" i="17" s="1"/>
  <c r="E32" i="17" s="1"/>
  <c r="G24" i="17"/>
  <c r="G26" i="17" s="1"/>
  <c r="H17" i="18"/>
  <c r="I17" i="18"/>
  <c r="G32" i="17"/>
  <c r="M7" i="29"/>
  <c r="M10" i="29" s="1"/>
  <c r="L6" i="25"/>
  <c r="L16" i="25" s="1"/>
  <c r="J11" i="38"/>
  <c r="H11" i="38"/>
  <c r="G11" i="38"/>
  <c r="F11" i="38"/>
  <c r="C11" i="38"/>
  <c r="L10" i="38"/>
  <c r="L9" i="38"/>
  <c r="L8" i="38"/>
  <c r="L7" i="38"/>
  <c r="J16" i="25"/>
  <c r="I16" i="25"/>
  <c r="H16" i="25"/>
  <c r="G16" i="25"/>
  <c r="E16" i="25"/>
  <c r="D16" i="25"/>
  <c r="C16" i="25"/>
  <c r="F3" i="3"/>
  <c r="G3" i="3" s="1"/>
  <c r="H3" i="3" s="1"/>
  <c r="E3" i="3"/>
  <c r="E4" i="3"/>
  <c r="F4" i="3"/>
  <c r="G4" i="3" s="1"/>
  <c r="H4" i="3" s="1"/>
  <c r="E5" i="3"/>
  <c r="F5" i="3"/>
  <c r="G5" i="3" s="1"/>
  <c r="H5" i="3" s="1"/>
  <c r="E6" i="3"/>
  <c r="F6" i="3"/>
  <c r="G6" i="3" s="1"/>
  <c r="H6" i="3" s="1"/>
  <c r="E7" i="3"/>
  <c r="F7" i="3"/>
  <c r="G7" i="3" s="1"/>
  <c r="H7" i="3" s="1"/>
  <c r="E8" i="3"/>
  <c r="F8" i="3"/>
  <c r="G8" i="3" s="1"/>
  <c r="H8" i="3" s="1"/>
  <c r="E9" i="3"/>
  <c r="F9" i="3"/>
  <c r="G9" i="3" s="1"/>
  <c r="H9" i="3" s="1"/>
  <c r="E10" i="3"/>
  <c r="F10" i="3"/>
  <c r="G10" i="3" s="1"/>
  <c r="H10" i="3" s="1"/>
  <c r="E11" i="3"/>
  <c r="F11" i="3"/>
  <c r="G11" i="3" s="1"/>
  <c r="H11" i="3" s="1"/>
  <c r="E12" i="3"/>
  <c r="F12" i="3"/>
  <c r="G12" i="3" s="1"/>
  <c r="H12" i="3" s="1"/>
  <c r="E13" i="3"/>
  <c r="F13" i="3"/>
  <c r="G13" i="3" s="1"/>
  <c r="H13" i="3" s="1"/>
  <c r="E14" i="3"/>
  <c r="F14" i="3"/>
  <c r="G14" i="3" s="1"/>
  <c r="H14" i="3" s="1"/>
  <c r="E15" i="3"/>
  <c r="F15" i="3"/>
  <c r="G15" i="3" s="1"/>
  <c r="H15" i="3" s="1"/>
  <c r="E16" i="3"/>
  <c r="F16" i="3"/>
  <c r="G16" i="3" s="1"/>
  <c r="H16" i="3" s="1"/>
  <c r="E17" i="3"/>
  <c r="F17" i="3"/>
  <c r="G17" i="3" s="1"/>
  <c r="H17" i="3" s="1"/>
  <c r="E18" i="3"/>
  <c r="F18" i="3"/>
  <c r="G18" i="3" s="1"/>
  <c r="H18" i="3" s="1"/>
  <c r="E19" i="3"/>
  <c r="F19" i="3"/>
  <c r="G19" i="3" s="1"/>
  <c r="H19" i="3" s="1"/>
  <c r="E20" i="3"/>
  <c r="F20" i="3"/>
  <c r="G20" i="3" s="1"/>
  <c r="H20" i="3" s="1"/>
  <c r="E21" i="3"/>
  <c r="F21" i="3"/>
  <c r="G21" i="3" s="1"/>
  <c r="H21" i="3" s="1"/>
  <c r="E22" i="3"/>
  <c r="F22" i="3"/>
  <c r="G22" i="3" s="1"/>
  <c r="H22" i="3" s="1"/>
  <c r="E23" i="3"/>
  <c r="F23" i="3"/>
  <c r="G23" i="3" s="1"/>
  <c r="H23" i="3" s="1"/>
  <c r="E24" i="3"/>
  <c r="F24" i="3"/>
  <c r="G24" i="3" s="1"/>
  <c r="H24" i="3" s="1"/>
  <c r="E25" i="3"/>
  <c r="F25" i="3"/>
  <c r="G25" i="3" s="1"/>
  <c r="H25" i="3" s="1"/>
  <c r="E26" i="3"/>
  <c r="F26" i="3"/>
  <c r="G26" i="3" s="1"/>
  <c r="H26" i="3" s="1"/>
  <c r="E27" i="3"/>
  <c r="F27" i="3"/>
  <c r="G27" i="3" s="1"/>
  <c r="H27" i="3" s="1"/>
  <c r="E28" i="3"/>
  <c r="F28" i="3"/>
  <c r="G28" i="3" s="1"/>
  <c r="H28" i="3" s="1"/>
  <c r="E29" i="3"/>
  <c r="F29" i="3"/>
  <c r="G29" i="3" s="1"/>
  <c r="H29" i="3" s="1"/>
  <c r="E30" i="3"/>
  <c r="F30" i="3"/>
  <c r="G30" i="3" s="1"/>
  <c r="H30" i="3" s="1"/>
  <c r="E31" i="3"/>
  <c r="F31" i="3"/>
  <c r="G31" i="3" s="1"/>
  <c r="H31" i="3" s="1"/>
  <c r="E32" i="3"/>
  <c r="F32" i="3"/>
  <c r="G32" i="3" s="1"/>
  <c r="H32" i="3" s="1"/>
  <c r="E33" i="3"/>
  <c r="F33" i="3"/>
  <c r="G33" i="3" s="1"/>
  <c r="H33" i="3" s="1"/>
  <c r="E34" i="3"/>
  <c r="F34" i="3"/>
  <c r="G34" i="3" s="1"/>
  <c r="H34" i="3" s="1"/>
  <c r="E35" i="3"/>
  <c r="F35" i="3"/>
  <c r="G35" i="3" s="1"/>
  <c r="H35" i="3" s="1"/>
  <c r="E36" i="3"/>
  <c r="F36" i="3"/>
  <c r="G36" i="3" s="1"/>
  <c r="H36" i="3" s="1"/>
  <c r="E37" i="3"/>
  <c r="F37" i="3"/>
  <c r="G37" i="3" s="1"/>
  <c r="H37" i="3" s="1"/>
  <c r="E38" i="3"/>
  <c r="F38" i="3"/>
  <c r="G38" i="3" s="1"/>
  <c r="H38" i="3" s="1"/>
  <c r="E3" i="2"/>
  <c r="F3" i="2"/>
  <c r="G3" i="2"/>
  <c r="K3" i="2"/>
  <c r="E4" i="2"/>
  <c r="F4" i="2"/>
  <c r="G4" i="2"/>
  <c r="K4" i="2"/>
  <c r="E5" i="2"/>
  <c r="F5" i="2"/>
  <c r="H5" i="2" s="1"/>
  <c r="G5" i="2"/>
  <c r="K5" i="2"/>
  <c r="E6" i="2"/>
  <c r="I6" i="2" s="1"/>
  <c r="F6" i="2"/>
  <c r="H6" i="2" s="1"/>
  <c r="G6" i="2"/>
  <c r="K6" i="2"/>
  <c r="E7" i="2"/>
  <c r="F7" i="2"/>
  <c r="H7" i="2" s="1"/>
  <c r="G7" i="2"/>
  <c r="K7" i="2"/>
  <c r="E8" i="2"/>
  <c r="F8" i="2"/>
  <c r="H8" i="2" s="1"/>
  <c r="G8" i="2"/>
  <c r="K8" i="2"/>
  <c r="E9" i="2"/>
  <c r="F9" i="2"/>
  <c r="H9" i="2" s="1"/>
  <c r="G9" i="2"/>
  <c r="K9" i="2"/>
  <c r="E10" i="2"/>
  <c r="F10" i="2"/>
  <c r="G10" i="2"/>
  <c r="K10" i="2"/>
  <c r="E11" i="2"/>
  <c r="I11" i="2" s="1"/>
  <c r="F11" i="2"/>
  <c r="H11" i="2" s="1"/>
  <c r="G11" i="2"/>
  <c r="K11" i="2"/>
  <c r="E12" i="2"/>
  <c r="J12" i="2" s="1"/>
  <c r="F12" i="2"/>
  <c r="G12" i="2"/>
  <c r="K12" i="2"/>
  <c r="E13" i="2"/>
  <c r="F13" i="2"/>
  <c r="H13" i="2" s="1"/>
  <c r="G13" i="2"/>
  <c r="K13" i="2"/>
  <c r="E14" i="2"/>
  <c r="F14" i="2"/>
  <c r="H14" i="2" s="1"/>
  <c r="G14" i="2"/>
  <c r="K14" i="2"/>
  <c r="E15" i="2"/>
  <c r="F15" i="2"/>
  <c r="G15" i="2"/>
  <c r="K15" i="2"/>
  <c r="E16" i="2"/>
  <c r="I16" i="2" s="1"/>
  <c r="F16" i="2"/>
  <c r="H16" i="2"/>
  <c r="G16" i="2"/>
  <c r="K16" i="2"/>
  <c r="E17" i="2"/>
  <c r="F17" i="2"/>
  <c r="H17" i="2" s="1"/>
  <c r="G17" i="2"/>
  <c r="K17" i="2"/>
  <c r="E18" i="2"/>
  <c r="F18" i="2"/>
  <c r="J18" i="2" s="1"/>
  <c r="G18" i="2"/>
  <c r="K18" i="2"/>
  <c r="E19" i="2"/>
  <c r="F19" i="2"/>
  <c r="G19" i="2"/>
  <c r="K19" i="2"/>
  <c r="E20" i="2"/>
  <c r="I20" i="2" s="1"/>
  <c r="F20" i="2"/>
  <c r="H20" i="2" s="1"/>
  <c r="G20" i="2"/>
  <c r="K20" i="2"/>
  <c r="E21" i="2"/>
  <c r="F21" i="2"/>
  <c r="H21" i="2" s="1"/>
  <c r="G21" i="2"/>
  <c r="K21" i="2"/>
  <c r="E22" i="2"/>
  <c r="J22" i="2" s="1"/>
  <c r="F22" i="2"/>
  <c r="H22" i="2" s="1"/>
  <c r="G22" i="2"/>
  <c r="K22" i="2"/>
  <c r="E23" i="2"/>
  <c r="J23" i="2" s="1"/>
  <c r="F23" i="2"/>
  <c r="H23" i="2" s="1"/>
  <c r="G23" i="2"/>
  <c r="K23" i="2"/>
  <c r="E24" i="2"/>
  <c r="J24" i="2" s="1"/>
  <c r="F24" i="2"/>
  <c r="H24" i="2" s="1"/>
  <c r="G24" i="2"/>
  <c r="K24" i="2"/>
  <c r="E25" i="2"/>
  <c r="F25" i="2"/>
  <c r="G25" i="2"/>
  <c r="K25" i="2"/>
  <c r="E26" i="2"/>
  <c r="J26" i="2" s="1"/>
  <c r="F26" i="2"/>
  <c r="H26" i="2" s="1"/>
  <c r="G26" i="2"/>
  <c r="K26" i="2"/>
  <c r="E27" i="2"/>
  <c r="I27" i="2" s="1"/>
  <c r="F27" i="2"/>
  <c r="G27" i="2"/>
  <c r="K27" i="2"/>
  <c r="E28" i="2"/>
  <c r="I28" i="2" s="1"/>
  <c r="F28" i="2"/>
  <c r="G28" i="2"/>
  <c r="K28" i="2"/>
  <c r="E29" i="2"/>
  <c r="I29" i="2" s="1"/>
  <c r="F29" i="2"/>
  <c r="H29" i="2" s="1"/>
  <c r="G29" i="2"/>
  <c r="K29" i="2"/>
  <c r="E30" i="2"/>
  <c r="I30" i="2" s="1"/>
  <c r="F30" i="2"/>
  <c r="H30" i="2" s="1"/>
  <c r="G30" i="2"/>
  <c r="K30" i="2"/>
  <c r="E31" i="2"/>
  <c r="J31" i="2" s="1"/>
  <c r="F31" i="2"/>
  <c r="H31" i="2" s="1"/>
  <c r="G31" i="2"/>
  <c r="K31" i="2"/>
  <c r="E32" i="2"/>
  <c r="F32" i="2"/>
  <c r="G32" i="2"/>
  <c r="K32" i="2"/>
  <c r="E33" i="2"/>
  <c r="F33" i="2"/>
  <c r="H33" i="2" s="1"/>
  <c r="G33" i="2"/>
  <c r="K33" i="2"/>
  <c r="E34" i="2"/>
  <c r="F34" i="2"/>
  <c r="G34" i="2"/>
  <c r="H34" i="2"/>
  <c r="K34" i="2"/>
  <c r="E35" i="2"/>
  <c r="F35" i="2"/>
  <c r="I35" i="2" s="1"/>
  <c r="G35" i="2"/>
  <c r="K35" i="2"/>
  <c r="E36" i="2"/>
  <c r="F36" i="2"/>
  <c r="H36" i="2" s="1"/>
  <c r="G36" i="2"/>
  <c r="K36" i="2"/>
  <c r="E37" i="2"/>
  <c r="F37" i="2"/>
  <c r="I37" i="2" s="1"/>
  <c r="G37" i="2"/>
  <c r="K37" i="2"/>
  <c r="E38" i="2"/>
  <c r="F38" i="2"/>
  <c r="H38" i="2" s="1"/>
  <c r="G38" i="2"/>
  <c r="K38" i="2"/>
  <c r="E3" i="1"/>
  <c r="I3" i="1" s="1"/>
  <c r="F3" i="1"/>
  <c r="J3" i="1"/>
  <c r="E4" i="1"/>
  <c r="H4" i="1" s="1"/>
  <c r="F4" i="1"/>
  <c r="J4" i="1"/>
  <c r="E5" i="1"/>
  <c r="G5" i="1" s="1"/>
  <c r="F5" i="1"/>
  <c r="J5" i="1"/>
  <c r="E6" i="1"/>
  <c r="I6" i="1" s="1"/>
  <c r="F6" i="1"/>
  <c r="J6" i="1"/>
  <c r="E7" i="1"/>
  <c r="I7" i="1" s="1"/>
  <c r="F7" i="1"/>
  <c r="J7" i="1"/>
  <c r="E8" i="1"/>
  <c r="H8" i="1" s="1"/>
  <c r="F8" i="1"/>
  <c r="J8" i="1"/>
  <c r="E9" i="1"/>
  <c r="G9" i="1" s="1"/>
  <c r="F9" i="1"/>
  <c r="J9" i="1"/>
  <c r="E10" i="1"/>
  <c r="H10" i="1" s="1"/>
  <c r="F10" i="1"/>
  <c r="J10" i="1"/>
  <c r="E11" i="1"/>
  <c r="H11" i="1" s="1"/>
  <c r="F11" i="1"/>
  <c r="J11" i="1"/>
  <c r="E12" i="1"/>
  <c r="H12" i="1" s="1"/>
  <c r="F12" i="1"/>
  <c r="J12" i="1"/>
  <c r="E13" i="1"/>
  <c r="H13" i="1" s="1"/>
  <c r="F13" i="1"/>
  <c r="J13" i="1"/>
  <c r="E14" i="1"/>
  <c r="H14" i="1" s="1"/>
  <c r="F14" i="1"/>
  <c r="J14" i="1"/>
  <c r="E15" i="1"/>
  <c r="H15" i="1" s="1"/>
  <c r="F15" i="1"/>
  <c r="J15" i="1"/>
  <c r="E16" i="1"/>
  <c r="H16" i="1" s="1"/>
  <c r="F16" i="1"/>
  <c r="J16" i="1"/>
  <c r="E17" i="1"/>
  <c r="G17" i="1" s="1"/>
  <c r="F17" i="1"/>
  <c r="J17" i="1"/>
  <c r="E18" i="1"/>
  <c r="H18" i="1" s="1"/>
  <c r="F18" i="1"/>
  <c r="J18" i="1"/>
  <c r="E19" i="1"/>
  <c r="H19" i="1" s="1"/>
  <c r="F19" i="1"/>
  <c r="J19" i="1"/>
  <c r="E20" i="1"/>
  <c r="H20" i="1" s="1"/>
  <c r="F20" i="1"/>
  <c r="J20" i="1"/>
  <c r="E21" i="1"/>
  <c r="H21" i="1" s="1"/>
  <c r="F21" i="1"/>
  <c r="J21" i="1"/>
  <c r="E22" i="1"/>
  <c r="H22" i="1" s="1"/>
  <c r="F22" i="1"/>
  <c r="J22" i="1"/>
  <c r="E23" i="1"/>
  <c r="H23" i="1" s="1"/>
  <c r="F23" i="1"/>
  <c r="J23" i="1"/>
  <c r="E24" i="1"/>
  <c r="H24" i="1" s="1"/>
  <c r="F24" i="1"/>
  <c r="J24" i="1"/>
  <c r="E25" i="1"/>
  <c r="H25" i="1" s="1"/>
  <c r="F25" i="1"/>
  <c r="J25" i="1"/>
  <c r="E26" i="1"/>
  <c r="H26" i="1" s="1"/>
  <c r="F26" i="1"/>
  <c r="J26" i="1"/>
  <c r="E27" i="1"/>
  <c r="H27" i="1" s="1"/>
  <c r="F27" i="1"/>
  <c r="J27" i="1"/>
  <c r="E28" i="1"/>
  <c r="H28" i="1" s="1"/>
  <c r="F28" i="1"/>
  <c r="J28" i="1"/>
  <c r="E29" i="1"/>
  <c r="H29" i="1" s="1"/>
  <c r="F29" i="1"/>
  <c r="J29" i="1"/>
  <c r="E30" i="1"/>
  <c r="H30" i="1" s="1"/>
  <c r="F30" i="1"/>
  <c r="J30" i="1"/>
  <c r="E31" i="1"/>
  <c r="H31" i="1" s="1"/>
  <c r="F31" i="1"/>
  <c r="J31" i="1"/>
  <c r="E32" i="1"/>
  <c r="H32" i="1" s="1"/>
  <c r="F32" i="1"/>
  <c r="J32" i="1"/>
  <c r="E33" i="1"/>
  <c r="H33" i="1" s="1"/>
  <c r="F33" i="1"/>
  <c r="J33" i="1"/>
  <c r="E34" i="1"/>
  <c r="H34" i="1" s="1"/>
  <c r="F34" i="1"/>
  <c r="J34" i="1"/>
  <c r="E35" i="1"/>
  <c r="H35" i="1" s="1"/>
  <c r="F35" i="1"/>
  <c r="J35" i="1"/>
  <c r="E36" i="1"/>
  <c r="H36" i="1" s="1"/>
  <c r="F36" i="1"/>
  <c r="J36" i="1"/>
  <c r="E37" i="1"/>
  <c r="H37" i="1" s="1"/>
  <c r="F37" i="1"/>
  <c r="J37" i="1"/>
  <c r="E38" i="1"/>
  <c r="H38" i="1" s="1"/>
  <c r="F38" i="1"/>
  <c r="J38" i="1"/>
  <c r="I21" i="1"/>
  <c r="I5" i="1"/>
  <c r="J13" i="2"/>
  <c r="I15" i="2"/>
  <c r="I29" i="1"/>
  <c r="I12" i="1"/>
  <c r="H5" i="1"/>
  <c r="H28" i="2"/>
  <c r="H10" i="2"/>
  <c r="I35" i="1"/>
  <c r="I8" i="1"/>
  <c r="H25" i="2"/>
  <c r="I12" i="2"/>
  <c r="G33" i="1"/>
  <c r="G23" i="1"/>
  <c r="H37" i="2"/>
  <c r="H12" i="2"/>
  <c r="I37" i="1"/>
  <c r="G28" i="1"/>
  <c r="G21" i="1"/>
  <c r="K21" i="1" s="1"/>
  <c r="L21" i="1" s="1"/>
  <c r="G20" i="1"/>
  <c r="I19" i="1"/>
  <c r="G12" i="1"/>
  <c r="G11" i="1"/>
  <c r="J38" i="2"/>
  <c r="I33" i="2"/>
  <c r="I19" i="2"/>
  <c r="I23" i="1"/>
  <c r="I4" i="1"/>
  <c r="I32" i="2"/>
  <c r="I14" i="2"/>
  <c r="G32" i="1"/>
  <c r="G13" i="1"/>
  <c r="G4" i="1"/>
  <c r="K4" i="1" s="1"/>
  <c r="L4" i="1" s="1"/>
  <c r="H27" i="2"/>
  <c r="H15" i="2"/>
  <c r="I31" i="1"/>
  <c r="I38" i="1"/>
  <c r="I36" i="1"/>
  <c r="I32" i="1"/>
  <c r="I30" i="1"/>
  <c r="I28" i="1"/>
  <c r="I24" i="1"/>
  <c r="I22" i="1"/>
  <c r="I20" i="1"/>
  <c r="I16" i="1"/>
  <c r="I11" i="1"/>
  <c r="I13" i="2"/>
  <c r="I9" i="2"/>
  <c r="I4" i="2"/>
  <c r="I8" i="2"/>
  <c r="J16" i="2"/>
  <c r="J15" i="2"/>
  <c r="J20" i="2"/>
  <c r="J11" i="2"/>
  <c r="J14" i="2"/>
  <c r="J33" i="2"/>
  <c r="K20" i="1"/>
  <c r="L20" i="1" s="1"/>
  <c r="I15" i="1"/>
  <c r="J19" i="2" l="1"/>
  <c r="L20" i="2"/>
  <c r="M20" i="2" s="1"/>
  <c r="I26" i="2"/>
  <c r="I14" i="1"/>
  <c r="G37" i="1"/>
  <c r="K37" i="1" s="1"/>
  <c r="L37" i="1" s="1"/>
  <c r="I38" i="2"/>
  <c r="L38" i="2" s="1"/>
  <c r="M38" i="2" s="1"/>
  <c r="L15" i="2"/>
  <c r="M15" i="2" s="1"/>
  <c r="L14" i="2"/>
  <c r="M14" i="2" s="1"/>
  <c r="L33" i="2"/>
  <c r="M33" i="2" s="1"/>
  <c r="G6" i="1"/>
  <c r="G18" i="1"/>
  <c r="I18" i="1"/>
  <c r="I26" i="1"/>
  <c r="I34" i="1"/>
  <c r="G30" i="1"/>
  <c r="I10" i="1"/>
  <c r="G38" i="1"/>
  <c r="K38" i="1" s="1"/>
  <c r="L38" i="1" s="1"/>
  <c r="G14" i="1"/>
  <c r="G34" i="1"/>
  <c r="J34" i="2"/>
  <c r="J32" i="2"/>
  <c r="I10" i="2"/>
  <c r="H24" i="17"/>
  <c r="H26" i="17" s="1"/>
  <c r="J30" i="2"/>
  <c r="G22" i="1"/>
  <c r="K22" i="1" s="1"/>
  <c r="L22" i="1" s="1"/>
  <c r="J27" i="2"/>
  <c r="L27" i="2" s="1"/>
  <c r="M27" i="2" s="1"/>
  <c r="J25" i="2"/>
  <c r="H19" i="2"/>
  <c r="L19" i="2" s="1"/>
  <c r="M19" i="2" s="1"/>
  <c r="L12" i="2"/>
  <c r="M12" i="2" s="1"/>
  <c r="J4" i="2"/>
  <c r="I3" i="2"/>
  <c r="L6" i="2"/>
  <c r="M6" i="2" s="1"/>
  <c r="L16" i="2"/>
  <c r="M16" i="2" s="1"/>
  <c r="K5" i="1"/>
  <c r="L5" i="1" s="1"/>
  <c r="G16" i="1"/>
  <c r="K16" i="1" s="1"/>
  <c r="L16" i="1" s="1"/>
  <c r="G15" i="1"/>
  <c r="K15" i="1" s="1"/>
  <c r="L15" i="1" s="1"/>
  <c r="J6" i="2"/>
  <c r="J3" i="2"/>
  <c r="J8" i="2"/>
  <c r="L8" i="2" s="1"/>
  <c r="M8" i="2" s="1"/>
  <c r="J10" i="2"/>
  <c r="L10" i="2" s="1"/>
  <c r="M10" i="2" s="1"/>
  <c r="J21" i="2"/>
  <c r="J29" i="2"/>
  <c r="L29" i="2" s="1"/>
  <c r="M29" i="2" s="1"/>
  <c r="J17" i="2"/>
  <c r="J36" i="2"/>
  <c r="I9" i="1"/>
  <c r="H35" i="2"/>
  <c r="L35" i="2" s="1"/>
  <c r="M35" i="2" s="1"/>
  <c r="K30" i="1"/>
  <c r="L30" i="1" s="1"/>
  <c r="I21" i="2"/>
  <c r="J35" i="2"/>
  <c r="I31" i="2"/>
  <c r="L31" i="2" s="1"/>
  <c r="M31" i="2" s="1"/>
  <c r="G3" i="1"/>
  <c r="K12" i="1"/>
  <c r="L12" i="1" s="1"/>
  <c r="I27" i="1"/>
  <c r="G31" i="1"/>
  <c r="G19" i="1"/>
  <c r="K19" i="1" s="1"/>
  <c r="L19" i="1" s="1"/>
  <c r="I34" i="2"/>
  <c r="L34" i="2" s="1"/>
  <c r="M34" i="2" s="1"/>
  <c r="G8" i="1"/>
  <c r="K8" i="1" s="1"/>
  <c r="L8" i="1" s="1"/>
  <c r="I17" i="2"/>
  <c r="L17" i="2" s="1"/>
  <c r="M17" i="2" s="1"/>
  <c r="G27" i="1"/>
  <c r="K34" i="1"/>
  <c r="L34" i="1" s="1"/>
  <c r="K18" i="1"/>
  <c r="L18" i="1" s="1"/>
  <c r="H17" i="1"/>
  <c r="H9" i="1"/>
  <c r="K9" i="1" s="1"/>
  <c r="L9" i="1" s="1"/>
  <c r="H7" i="1"/>
  <c r="H6" i="1"/>
  <c r="K6" i="1" s="1"/>
  <c r="L6" i="1" s="1"/>
  <c r="H3" i="1"/>
  <c r="L30" i="2"/>
  <c r="M30" i="2" s="1"/>
  <c r="J28" i="2"/>
  <c r="L28" i="2" s="1"/>
  <c r="M28" i="2" s="1"/>
  <c r="I24" i="2"/>
  <c r="L24" i="2" s="1"/>
  <c r="M24" i="2" s="1"/>
  <c r="I22" i="2"/>
  <c r="L22" i="2" s="1"/>
  <c r="M22" i="2" s="1"/>
  <c r="K31" i="1"/>
  <c r="L31" i="1" s="1"/>
  <c r="L26" i="2"/>
  <c r="M26" i="2" s="1"/>
  <c r="K23" i="1"/>
  <c r="L23" i="1" s="1"/>
  <c r="K11" i="1"/>
  <c r="L11" i="1" s="1"/>
  <c r="J5" i="2"/>
  <c r="J7" i="2"/>
  <c r="J9" i="2"/>
  <c r="L9" i="2" s="1"/>
  <c r="M9" i="2" s="1"/>
  <c r="I5" i="2"/>
  <c r="I18" i="2"/>
  <c r="I13" i="1"/>
  <c r="K13" i="1" s="1"/>
  <c r="L13" i="1" s="1"/>
  <c r="G7" i="1"/>
  <c r="K7" i="1" s="1"/>
  <c r="L7" i="1" s="1"/>
  <c r="I7" i="2"/>
  <c r="I23" i="2"/>
  <c r="L23" i="2" s="1"/>
  <c r="M23" i="2" s="1"/>
  <c r="G29" i="1"/>
  <c r="K29" i="1" s="1"/>
  <c r="L29" i="1" s="1"/>
  <c r="H3" i="2"/>
  <c r="I25" i="1"/>
  <c r="G25" i="1"/>
  <c r="K25" i="1" s="1"/>
  <c r="L25" i="1" s="1"/>
  <c r="I17" i="1"/>
  <c r="K32" i="1"/>
  <c r="L32" i="1" s="1"/>
  <c r="K28" i="1"/>
  <c r="L28" i="1" s="1"/>
  <c r="J37" i="2"/>
  <c r="L37" i="2" s="1"/>
  <c r="M37" i="2" s="1"/>
  <c r="I36" i="2"/>
  <c r="I25" i="2"/>
  <c r="L25" i="2" s="1"/>
  <c r="M25" i="2" s="1"/>
  <c r="L13" i="2"/>
  <c r="M13" i="2" s="1"/>
  <c r="L11" i="2"/>
  <c r="M11" i="2" s="1"/>
  <c r="F20" i="36"/>
  <c r="H32" i="17"/>
  <c r="L11" i="38"/>
  <c r="K14" i="1"/>
  <c r="L14" i="1" s="1"/>
  <c r="I33" i="1"/>
  <c r="K33" i="1" s="1"/>
  <c r="L33" i="1" s="1"/>
  <c r="G24" i="1"/>
  <c r="K24" i="1" s="1"/>
  <c r="L24" i="1" s="1"/>
  <c r="G35" i="1"/>
  <c r="K35" i="1" s="1"/>
  <c r="L35" i="1" s="1"/>
  <c r="G26" i="1"/>
  <c r="G10" i="1"/>
  <c r="K10" i="1" s="1"/>
  <c r="L10" i="1" s="1"/>
  <c r="H32" i="2"/>
  <c r="L32" i="2" s="1"/>
  <c r="M32" i="2" s="1"/>
  <c r="H18" i="2"/>
  <c r="L18" i="2" s="1"/>
  <c r="M18" i="2" s="1"/>
  <c r="H4" i="2"/>
  <c r="L4" i="2" s="1"/>
  <c r="M4" i="2" s="1"/>
  <c r="G36" i="1"/>
  <c r="K36" i="1" s="1"/>
  <c r="L36" i="1" s="1"/>
  <c r="K27" i="1" l="1"/>
  <c r="L27" i="1" s="1"/>
  <c r="L21" i="2"/>
  <c r="M21" i="2" s="1"/>
  <c r="K26" i="1"/>
  <c r="L26" i="1" s="1"/>
  <c r="L7" i="2"/>
  <c r="M7" i="2" s="1"/>
  <c r="L3" i="2"/>
  <c r="M3" i="2" s="1"/>
  <c r="K17" i="1"/>
  <c r="L17" i="1" s="1"/>
  <c r="L36" i="2"/>
  <c r="M36" i="2" s="1"/>
  <c r="L5" i="2"/>
  <c r="M5" i="2" s="1"/>
  <c r="K3" i="1"/>
  <c r="L3" i="1" s="1"/>
  <c r="I32" i="17" l="1"/>
  <c r="K32" i="17" s="1"/>
  <c r="K7" i="17"/>
</calcChain>
</file>

<file path=xl/sharedStrings.xml><?xml version="1.0" encoding="utf-8"?>
<sst xmlns="http://schemas.openxmlformats.org/spreadsheetml/2006/main" count="1046" uniqueCount="454">
  <si>
    <t>S.No.</t>
  </si>
  <si>
    <t xml:space="preserve">State </t>
  </si>
  <si>
    <t>No. of State representative</t>
  </si>
  <si>
    <t>Per training cost</t>
  </si>
  <si>
    <t>Uttar Pradesh</t>
  </si>
  <si>
    <t>Goa</t>
  </si>
  <si>
    <t>Estd. no. of Trainers</t>
  </si>
  <si>
    <t>No. of trainees (5 from each district)</t>
  </si>
  <si>
    <t>Total Cost for 1 year (2 State level trainings)</t>
  </si>
  <si>
    <t>Accomodation cost for trainers (4000 per day)</t>
  </si>
  <si>
    <t>Accomodation cost for trainees (2000 per day)</t>
  </si>
  <si>
    <t>Incidental expenses (Rs. 300/day/partcipant)</t>
  </si>
  <si>
    <t>Food cost (Rs. 350/participant/day)</t>
  </si>
  <si>
    <t>Venue Cost (Rs 10,000/day)</t>
  </si>
  <si>
    <t>a</t>
  </si>
  <si>
    <t>b</t>
  </si>
  <si>
    <t>c</t>
  </si>
  <si>
    <t>d=5*a</t>
  </si>
  <si>
    <t>j=e+f+g+h+i</t>
  </si>
  <si>
    <t>k=2*j</t>
  </si>
  <si>
    <t>e=(4000*3*b)</t>
  </si>
  <si>
    <t>f=(2000*3*c)</t>
  </si>
  <si>
    <t>g=300*3*(c+d)</t>
  </si>
  <si>
    <t>h=350*3*(b+c+d)</t>
  </si>
  <si>
    <t>i= 10000*3</t>
  </si>
  <si>
    <t>No. of District representative</t>
  </si>
  <si>
    <t>No. of trainees (2 from each block)</t>
  </si>
  <si>
    <t>d=2*a</t>
  </si>
  <si>
    <t>Food cost (Rs. 250/participant/day)</t>
  </si>
  <si>
    <t>Venue Cost (Rs 5,000/day)</t>
  </si>
  <si>
    <t>Total Cost for 1 year (4 District level trainings)</t>
  </si>
  <si>
    <t>e=2*b</t>
  </si>
  <si>
    <t>f=3000*3*c</t>
  </si>
  <si>
    <t>g=1000*3*e</t>
  </si>
  <si>
    <t>h=300*3*(d+e)</t>
  </si>
  <si>
    <t>i=250*3*(c+d+e)</t>
  </si>
  <si>
    <t>j=5000*3</t>
  </si>
  <si>
    <t>k=f+g+h+i+k</t>
  </si>
  <si>
    <t>l=4*k</t>
  </si>
  <si>
    <t>No. of district (HMIS)</t>
  </si>
  <si>
    <t>No. of blocks (MCTS)</t>
  </si>
  <si>
    <t>No. of PHCs (MCTS)</t>
  </si>
  <si>
    <t>No. of SCs (MCTS)</t>
  </si>
  <si>
    <t>No. of Sub-District representative</t>
  </si>
  <si>
    <t>No. of trainees (1 each from each PHC &amp; SC)</t>
  </si>
  <si>
    <t>e=b+c</t>
  </si>
  <si>
    <t>f=300*e</t>
  </si>
  <si>
    <t>Total Cost for 1 year (12 Block level trainings)</t>
  </si>
  <si>
    <r>
      <t xml:space="preserve">Accomodation cost for </t>
    </r>
    <r>
      <rPr>
        <b/>
        <sz val="11"/>
        <color rgb="FFFF0000"/>
        <rFont val="Calibri"/>
        <family val="2"/>
        <scheme val="minor"/>
      </rPr>
      <t>per</t>
    </r>
    <r>
      <rPr>
        <b/>
        <sz val="11"/>
        <color theme="1"/>
        <rFont val="Calibri"/>
        <family val="2"/>
        <scheme val="minor"/>
      </rPr>
      <t xml:space="preserve"> trainers (3000 per day)</t>
    </r>
  </si>
  <si>
    <r>
      <t xml:space="preserve">Accomodation cost for </t>
    </r>
    <r>
      <rPr>
        <b/>
        <sz val="11"/>
        <color rgb="FFFF0000"/>
        <rFont val="Calibri"/>
        <family val="2"/>
        <scheme val="minor"/>
      </rPr>
      <t>per</t>
    </r>
    <r>
      <rPr>
        <b/>
        <sz val="11"/>
        <color theme="1"/>
        <rFont val="Calibri"/>
        <family val="2"/>
        <scheme val="minor"/>
      </rPr>
      <t xml:space="preserve"> trainees (1000 per day)</t>
    </r>
  </si>
  <si>
    <t>g=12*f</t>
  </si>
  <si>
    <t>A &amp; N Islands</t>
  </si>
  <si>
    <t>Andhra Pradesh</t>
  </si>
  <si>
    <t>Arunachal Pradesh</t>
  </si>
  <si>
    <t>Assam</t>
  </si>
  <si>
    <t>Bihar</t>
  </si>
  <si>
    <t>Chandigarh</t>
  </si>
  <si>
    <t>Chhattisgarh</t>
  </si>
  <si>
    <t>Dadra &amp; Nagar Haveli</t>
  </si>
  <si>
    <t>Daman &amp; Diu</t>
  </si>
  <si>
    <t>Delhi</t>
  </si>
  <si>
    <t>Gujarat</t>
  </si>
  <si>
    <t>Haryana</t>
  </si>
  <si>
    <t>Himachal Pradesh</t>
  </si>
  <si>
    <t>Jammu &amp; Kashmir</t>
  </si>
  <si>
    <t>Jharkhand</t>
  </si>
  <si>
    <t>Karnataka</t>
  </si>
  <si>
    <t>Kerala</t>
  </si>
  <si>
    <t>Lakshadweep</t>
  </si>
  <si>
    <t>Madhya Pradesh</t>
  </si>
  <si>
    <t>Maharashtra</t>
  </si>
  <si>
    <t>Manipur</t>
  </si>
  <si>
    <t>Meghalaya</t>
  </si>
  <si>
    <t>Mizoram</t>
  </si>
  <si>
    <t>Nagaland</t>
  </si>
  <si>
    <t>Odisha</t>
  </si>
  <si>
    <t>Puducherry</t>
  </si>
  <si>
    <t>Punjab</t>
  </si>
  <si>
    <t>Rajasthan</t>
  </si>
  <si>
    <t>Sikkim</t>
  </si>
  <si>
    <t>Tamil Nadu</t>
  </si>
  <si>
    <t>Telangana</t>
  </si>
  <si>
    <t>Tripura</t>
  </si>
  <si>
    <t>Uttarakhand</t>
  </si>
  <si>
    <t>West Bengal</t>
  </si>
  <si>
    <t>whether to include no of sd participants for calculating incidental cost???</t>
  </si>
  <si>
    <t>Total</t>
  </si>
  <si>
    <t>Activity</t>
  </si>
  <si>
    <t xml:space="preserve">Norms </t>
  </si>
  <si>
    <t>Guidelines / Support document required for approval</t>
  </si>
  <si>
    <t>Human Resources</t>
  </si>
  <si>
    <t>This is to be proposed under the budget head of HR for SPMU /  DPMU</t>
  </si>
  <si>
    <t>Statistical Assistant/ Data Analyst / MIS Officer / M&amp;E Assistant / DEO at Block level</t>
  </si>
  <si>
    <t>1. As per the last approved salary
2. Increment as per NRHM norms
3. To be deployed only in those Health  blocks / facilities  which have IT Infrastrature &amp; Internet Connectivity</t>
  </si>
  <si>
    <t>Data Entry activity to be out-sourced by hiring agency</t>
  </si>
  <si>
    <t>Applicable for those health blocks / facilities with:
1.  No IT Infrastracture and / or no Internet Connectivity
2.  No Data entry operator
Note: State should appropriately transfer the Data Entry operator / Managers of all those health blocks / facilities where the above mentioned conditions exist and deploy them in health blocks / facilities having good  IT Infrastracture, internet connectivity and having sufficient case load</t>
  </si>
  <si>
    <t xml:space="preserve">Norms for PIP </t>
  </si>
  <si>
    <t>S. No</t>
  </si>
  <si>
    <t>Grand Total (Td=Ta+Tb+Tc)</t>
  </si>
  <si>
    <t>State Level M&amp;E  HR</t>
  </si>
  <si>
    <t>Total for State Level M&amp;E HR (Ta)</t>
  </si>
  <si>
    <t>District Level M&amp;E HR</t>
  </si>
  <si>
    <t>Total for District Level M&amp;E HR (Tb)</t>
  </si>
  <si>
    <t>Total for Sub-District /Block Level M&amp;E HR (Tc)</t>
  </si>
  <si>
    <t>Total No. of Health Block as per MCTS</t>
  </si>
  <si>
    <t>Year in which  salary hike was last approved</t>
  </si>
  <si>
    <t>Salary hike provided (in %)</t>
  </si>
  <si>
    <t>No. of Data Entry Points</t>
  </si>
  <si>
    <t>No. of Data Entry Points with IT Infrastructure and Internet Connectivity</t>
  </si>
  <si>
    <t>*Category (provide details for each designation)</t>
  </si>
  <si>
    <t>Model on which Data Entry being proposed (eg. DEOs, transaction based etc)</t>
  </si>
  <si>
    <t>* In case on the same designation if the salaries are different, the details have to be provided separately</t>
  </si>
  <si>
    <t xml:space="preserve">Sub-District / Block Level M&amp;E HR </t>
  </si>
  <si>
    <t>(1 c) Data Entry activity to be out-sourced by hiring agency</t>
  </si>
  <si>
    <t xml:space="preserve">(1 b) Statistical Assistant/ Data Analyst / MIS Officer / M&amp;E Assistant at Block level </t>
  </si>
  <si>
    <t>No. of Units (i.e. based on the model for eg DEOs, transactions etc) proposed per month</t>
  </si>
  <si>
    <t>Related Information
(Year and percentage of salary hike previously)</t>
  </si>
  <si>
    <t>In case multiple models of data entry are adopted in a district, the details should be mentioned separately</t>
  </si>
  <si>
    <t>Remarks (if any)</t>
  </si>
  <si>
    <t>Number of staff approved</t>
  </si>
  <si>
    <t>No. of Staff in position</t>
  </si>
  <si>
    <t>Total Staff proposed</t>
  </si>
  <si>
    <t>Total amount approved
(Rs. Lakhs)</t>
  </si>
  <si>
    <t>Total Expenditure incurred
(Rs. Lakhs)</t>
  </si>
  <si>
    <t>Total Unspent Balance (Commited)
(Rs. Lakhs)</t>
  </si>
  <si>
    <t>Total budget
(Rs. Lakhs)</t>
  </si>
  <si>
    <t>Salary per month per staff /category
(Rs.)</t>
  </si>
  <si>
    <t>Salary per month per staff / category
(Rs.)</t>
  </si>
  <si>
    <t>Name of District</t>
  </si>
  <si>
    <t>Rate per Unit
(Rs.)</t>
  </si>
  <si>
    <r>
      <t>State should share details regarding the following:
1. District / Block wise status of IT-infrastructure, Internet Connectivity 
2</t>
    </r>
    <r>
      <rPr>
        <sz val="11"/>
        <color rgb="FFFF0000"/>
        <rFont val="Times New Roman"/>
        <family val="1"/>
      </rPr>
      <t>. Deployment of Data Entry Operator District/ Block wise</t>
    </r>
    <r>
      <rPr>
        <sz val="11"/>
        <rFont val="Times New Roman"/>
        <family val="1"/>
      </rPr>
      <t xml:space="preserve">
3</t>
    </r>
    <r>
      <rPr>
        <sz val="11"/>
        <color rgb="FFFF0000"/>
        <rFont val="Times New Roman"/>
        <family val="1"/>
      </rPr>
      <t>. Block-wise details of case load (MCTS beneficiaries and HMIS data entry)</t>
    </r>
  </si>
  <si>
    <t>Salary of HR deployed at State/ District for HMIS/ MCTS activity</t>
  </si>
  <si>
    <r>
      <t xml:space="preserve">State should share detailed status regarding the following:
1.  Total number of Health Blocks (District wise)
</t>
    </r>
    <r>
      <rPr>
        <sz val="11"/>
        <color rgb="FFFF0000"/>
        <rFont val="Times New Roman"/>
        <family val="1"/>
      </rPr>
      <t>2.   District/ Block wise estimated need assessed cases (target of pregnent women and children)</t>
    </r>
    <r>
      <rPr>
        <sz val="11"/>
        <rFont val="Times New Roman"/>
        <family val="1"/>
      </rPr>
      <t xml:space="preserve">
3.  Total Data entry operator/ managers  sanctioned from MoHFW
4</t>
    </r>
    <r>
      <rPr>
        <sz val="11"/>
        <color rgb="FFFF0000"/>
        <rFont val="Times New Roman"/>
        <family val="1"/>
      </rPr>
      <t>.  District/ Block wise deployment status of Data entry operator/ managers against sanction</t>
    </r>
    <r>
      <rPr>
        <sz val="11"/>
        <rFont val="Times New Roman"/>
        <family val="1"/>
      </rPr>
      <t xml:space="preserve">
5. Basis of proposing the increment (e.g., performance based incentive)</t>
    </r>
  </si>
  <si>
    <t>Current Year PIP Details  (FY : &gt;&gt;Year n&lt;&lt; )</t>
  </si>
  <si>
    <t>Proposal for Next year (FY : &gt;&gt;Year n+1&lt;&lt; )</t>
  </si>
  <si>
    <t>c=a*b*no. of months/100000</t>
  </si>
  <si>
    <t>Current Year PIP Details (FY: &gt;&gt;Year n&lt;&lt;)</t>
  </si>
  <si>
    <t>Proposal for Next Year (FY : &gt;&gt;Year n+1&lt;&lt; )</t>
  </si>
  <si>
    <t>Should autopopulate based on user login, given this form should be filled only at district level</t>
  </si>
  <si>
    <t xml:space="preserve">Infrastructure Support - Procurements </t>
  </si>
  <si>
    <t>Computer – Desktop+Printer+UPS</t>
  </si>
  <si>
    <t>State should share the IT infrastructure available at various level (State / District / Block level).</t>
  </si>
  <si>
    <t xml:space="preserve">Laptop </t>
  </si>
  <si>
    <t>State should share details regarding requirement</t>
  </si>
  <si>
    <t xml:space="preserve">Procurement of VSAT </t>
  </si>
  <si>
    <t>As per NIC / NICSI empanelment and approved rate</t>
  </si>
  <si>
    <t>1. State should share the status of Internet connectivity available at State/ District/ Block level 
2. Also the list of all those blocks where there is no connectivity
3. Status of Installation of  V-SAT, approved earlier by MoHFW (if applicable/ given)</t>
  </si>
  <si>
    <t>d</t>
  </si>
  <si>
    <t>Installation of VSAT</t>
  </si>
  <si>
    <t>e</t>
  </si>
  <si>
    <t>Internet Connectivity (LAN)</t>
  </si>
  <si>
    <t xml:space="preserve">
</t>
  </si>
  <si>
    <t>State should share the details regarding :
1.  District/ Block wise  total number of Data entry points &amp; users 
2. Earlier rate approved from MoHFW
3. Justification regarding additional requirment</t>
  </si>
  <si>
    <t>State Name</t>
  </si>
  <si>
    <t>Category</t>
  </si>
  <si>
    <t>Office / Block Name</t>
  </si>
  <si>
    <t>Existing IT Infrastructure available</t>
  </si>
  <si>
    <t>IT Infrastructure for which AMC is available</t>
  </si>
  <si>
    <t>Number of New IT Infrastructure to be procurred</t>
  </si>
  <si>
    <t>Proposed Budget
(Rs. Lakhs)</t>
  </si>
  <si>
    <t>Computer with UPS</t>
  </si>
  <si>
    <t>Laptops</t>
  </si>
  <si>
    <t>Printers</t>
  </si>
  <si>
    <r>
      <t xml:space="preserve">Others (if any) 
</t>
    </r>
    <r>
      <rPr>
        <b/>
        <i/>
        <sz val="9"/>
        <color theme="0"/>
        <rFont val="Calibri"/>
        <family val="2"/>
        <scheme val="minor"/>
      </rPr>
      <t>(Please specify)</t>
    </r>
  </si>
  <si>
    <t>No. of Computers with UPS</t>
  </si>
  <si>
    <t>No. of Laptops</t>
  </si>
  <si>
    <t>No. of Printers</t>
  </si>
  <si>
    <t>Budget for New Procurement</t>
  </si>
  <si>
    <t>Budget for  AMC for existing equipments</t>
  </si>
  <si>
    <t>Printer</t>
  </si>
  <si>
    <t>f</t>
  </si>
  <si>
    <t>g</t>
  </si>
  <si>
    <t>h</t>
  </si>
  <si>
    <t>i=a+b+c+d</t>
  </si>
  <si>
    <t>j=e+f+g+h</t>
  </si>
  <si>
    <t>HMIS &amp; MCTS Only</t>
  </si>
  <si>
    <t>State HQ</t>
  </si>
  <si>
    <t>District HQ</t>
  </si>
  <si>
    <t>Block 2:</t>
  </si>
  <si>
    <t>Block 3:</t>
  </si>
  <si>
    <t xml:space="preserve"> All District HQs </t>
  </si>
  <si>
    <t>All Health Blocks including District Hospitals</t>
  </si>
  <si>
    <t xml:space="preserve">All other eGovernance initiatives excluding HMIS &amp; MCTS </t>
  </si>
  <si>
    <t>(2 c,d) VSAT-Procurement &amp; Recurring Cost</t>
  </si>
  <si>
    <t>District Name</t>
  </si>
  <si>
    <t>Current Year PIP Details (FY: &gt;&gt;Year n&lt;&lt; )</t>
  </si>
  <si>
    <t>Number of VSATs approved</t>
  </si>
  <si>
    <t>Of which number of VSATs installed &amp; operational</t>
  </si>
  <si>
    <t xml:space="preserve">Total no. of VSATs operational </t>
  </si>
  <si>
    <t>Number of Locations where internet is not available (i.e. either broadband, data card etc)</t>
  </si>
  <si>
    <t>Total No. of new VSATs required</t>
  </si>
  <si>
    <t>Estimated Cost per unit for procurement &amp;  installation of New VSATs required (Capex)
(Rs. Lakhs)</t>
  </si>
  <si>
    <t>Recurring Cost for VSATs per month (i.e. existing &amp; new proposed) (Opex)
(Rs. Lakhs)</t>
  </si>
  <si>
    <t>Number of months for which recurring cost is estimated</t>
  </si>
  <si>
    <t>Total Budget for VSAT Procurement &amp; Installation (Capex)
(Rs. Lakhs)</t>
  </si>
  <si>
    <t>Total Budget for VSAT Recurring Cost (Opex)
(Rs. Lakhs)</t>
  </si>
  <si>
    <t>g=c*d</t>
  </si>
  <si>
    <t>h=(a+c)*e*f</t>
  </si>
  <si>
    <t>Category / Details</t>
  </si>
  <si>
    <t>Previous Year PIP Details (FY: &gt;&gt;Year n&lt;&lt;)</t>
  </si>
  <si>
    <t>Number of locations for which internet connectivity cost is proposed</t>
  </si>
  <si>
    <t>Number of users for which internet connectivity cost is proposed</t>
  </si>
  <si>
    <t>Cost of Internet Connectivity per month per user
(Rs.)</t>
  </si>
  <si>
    <t>Number of months for which budget is required</t>
  </si>
  <si>
    <t>Total Budget
(Rs. Lakhs)</t>
  </si>
  <si>
    <t>e=(b*c*d)/100000</t>
  </si>
  <si>
    <t>HMIS &amp; MCTS only</t>
  </si>
  <si>
    <t>Block HQ</t>
  </si>
  <si>
    <t>Other Data Entry Points</t>
  </si>
  <si>
    <t xml:space="preserve">Printing of Formats &amp; Registers </t>
  </si>
  <si>
    <t>RCH Register Printing</t>
  </si>
  <si>
    <t xml:space="preserve">1 MCTS register for two years @ per 1000 population. </t>
  </si>
  <si>
    <t>Following details are required from States:
1. Status of expenditure against last year approval
2. Total budget required as per the competitive bidding or as per mentioned norms. If the rates as per competitive bidding are more than the norms then the rates as per bidding have to be indicated. 
Specifications are as under:
1. Size 11'' X 17'' 
2. Inner page: 90 GSM
3. Inner cover page: 120 GSM
4. Outer cover: Gatta 24 ounze</t>
  </si>
  <si>
    <t xml:space="preserve">Printing of MCTS follow-up formats / services due list / work plan (for New Registration/Updation) </t>
  </si>
  <si>
    <t>State to provide the total number of Blocks and Villages</t>
  </si>
  <si>
    <t>HMIS Format Printing</t>
  </si>
  <si>
    <t>State to provide the status of expenditure as against the budget approved earlier</t>
  </si>
  <si>
    <t>S. No.</t>
  </si>
  <si>
    <t>Approved number of registers for printing</t>
  </si>
  <si>
    <t>Cost per register</t>
  </si>
  <si>
    <t>Estimated Pregnant Women 
(1 Year)</t>
  </si>
  <si>
    <t>Number of Registers to be printed as per the guidelines for printing of RCH register</t>
  </si>
  <si>
    <t>Cost per register
(Rs.)</t>
  </si>
  <si>
    <t>Whether the cost per register is obtained through competitive bidding 
(Yes / No)</t>
  </si>
  <si>
    <t>c=(a*b)/100000</t>
  </si>
  <si>
    <t>(4a) RCH Register Instruction Manual Printing</t>
  </si>
  <si>
    <t>Total Numbers</t>
  </si>
  <si>
    <t>ANM</t>
  </si>
  <si>
    <t>ANM 2</t>
  </si>
  <si>
    <t>Approved number of manuals for printing</t>
  </si>
  <si>
    <t>Cost per manual
(Rs.)</t>
  </si>
  <si>
    <t>Estimated number of RCH register instruction manual to be printed</t>
  </si>
  <si>
    <t>Estimated cost per RCH register instruction manual to be printed
(Rs.)</t>
  </si>
  <si>
    <t>Whether the cost per register is obtained through competitive bidding (Yes / No)</t>
  </si>
  <si>
    <t xml:space="preserve">(4b) Printing of MCTS follow-up formats / services due list / work plan (for New Registration/Updation) </t>
  </si>
  <si>
    <t>Number of Sub-Districts / Blocks</t>
  </si>
  <si>
    <t>Number of Villages</t>
  </si>
  <si>
    <t>Number of ASHAs</t>
  </si>
  <si>
    <t xml:space="preserve">Number of workplans approved for printing </t>
  </si>
  <si>
    <t>Cost per page of printing 
(Rs.)</t>
  </si>
  <si>
    <t>Estimated Pregnant Women &amp; Children</t>
  </si>
  <si>
    <t>Cost per page printing
(Rs.)</t>
  </si>
  <si>
    <t>(4.c.) HMIS Format Printing</t>
  </si>
  <si>
    <t>Total Number Facilities as per HMIS (a)</t>
  </si>
  <si>
    <t>Current Year PIP Details (FY: &gt;&gt;Year n&lt;&lt; ) (b)</t>
  </si>
  <si>
    <t>SC</t>
  </si>
  <si>
    <t>PHC</t>
  </si>
  <si>
    <t>CHC</t>
  </si>
  <si>
    <t>SDH</t>
  </si>
  <si>
    <t>DH</t>
  </si>
  <si>
    <t>Cost per page
(Rs.)</t>
  </si>
  <si>
    <t>Approved Budget
(Rs. Lakhs)</t>
  </si>
  <si>
    <t>Number of Formats to be printed (c)</t>
  </si>
  <si>
    <t>Number of pages per formats to be printed (d)</t>
  </si>
  <si>
    <t>Printing cost per page (Rs.)
(e)</t>
  </si>
  <si>
    <t>Total Budget 
(Rs. Lakhs)
{f = (c*d*e)/100000)}</t>
  </si>
  <si>
    <t>State Level</t>
  </si>
  <si>
    <t>District Level</t>
  </si>
  <si>
    <t>Facility Level</t>
  </si>
  <si>
    <t>MIS Quarterly</t>
  </si>
  <si>
    <t>MIS Annual</t>
  </si>
  <si>
    <t>MIS Monthly Consolidated</t>
  </si>
  <si>
    <t>MIS DHQ</t>
  </si>
  <si>
    <t>MIS Monthly</t>
  </si>
  <si>
    <t>Infrastructure (Annual)</t>
  </si>
  <si>
    <t xml:space="preserve">HMIS &amp; MCTS Training cum Review Meeting </t>
  </si>
  <si>
    <t>State Level - 2 Training cum Review /Annum</t>
  </si>
  <si>
    <t xml:space="preserve">3 day combined training cum review meeting for HMIS and MCTS for 1 training-cum-review per person per year.This includes all the charges of trainee and training.  Expected number of participants for  training cum review:
-10 Participants for State level
-5  Participants for each District 
</t>
  </si>
  <si>
    <t xml:space="preserve">Following details are required from States:
1. Status of expenditure against last year approval
2. Training / Capacity Building plan
</t>
  </si>
  <si>
    <t>District Level-4 Training cum Review /Annum</t>
  </si>
  <si>
    <t>3 day combined training cum review meeting for HMIS and MCTS for 4 trainings-cum-review per person per year.This includes all the charges of trainee and training.  Expected number of participants for  training cum review:
-5  Participants for each District 
-2 Participants for each Block
- This will be multiplied by number of Districts</t>
  </si>
  <si>
    <t xml:space="preserve">Following details are required:
1. Status of expenditure against last year approval
2. Training/ Capacity Building plan
</t>
  </si>
  <si>
    <t xml:space="preserve">Block Level -12 Training cum Review /Annum </t>
  </si>
  <si>
    <t>1 day combined training cum review meeting for HMIS and MCTS for 1 training-cum-review per person per month.This includes all the charges of trainee and training. Expected number of participants for  training cum review:
-2 Participants for each Block
-1 Participant for each PHC and each Sub Centre
- This will be multiplied by number of Blocks</t>
  </si>
  <si>
    <t xml:space="preserve">Following details are required:
1. Status of expenditure against last year approval
2. Training/ Capacity Building plan 
</t>
  </si>
  <si>
    <t>(5a) State Level - 2 Training cum Review /Annum</t>
  </si>
  <si>
    <t>Number of trainings planned</t>
  </si>
  <si>
    <t>Number of trainings held</t>
  </si>
  <si>
    <t>Number of participants per training to be conducted</t>
  </si>
  <si>
    <t>Number of Trainings to be conducted</t>
  </si>
  <si>
    <t>Budget Per Training
(Rs. Lakhs)</t>
  </si>
  <si>
    <t>Trainers</t>
  </si>
  <si>
    <t>State representatives</t>
  </si>
  <si>
    <t>Trainees from districts</t>
  </si>
  <si>
    <t>Number of Blocks as per MCTS</t>
  </si>
  <si>
    <t>Budget Per Training
(Rs.)</t>
  </si>
  <si>
    <t>District representatives</t>
  </si>
  <si>
    <t>Trainees from blocks</t>
  </si>
  <si>
    <t>figures in INR</t>
  </si>
  <si>
    <t>Total Numbers as per MCTS</t>
  </si>
  <si>
    <t>Blocks</t>
  </si>
  <si>
    <t>PHCs</t>
  </si>
  <si>
    <t>SCs</t>
  </si>
  <si>
    <t xml:space="preserve"> Block representatives</t>
  </si>
  <si>
    <t>Trainees from SCs</t>
  </si>
  <si>
    <t xml:space="preserve">Mobility Support </t>
  </si>
  <si>
    <t>State should share the expenditure status against last approval of MoHFW</t>
  </si>
  <si>
    <t>Number of Districts as per HMIS</t>
  </si>
  <si>
    <t>Estimated Mobility Cost per unit</t>
  </si>
  <si>
    <t>Total amount approved</t>
  </si>
  <si>
    <t>Expenditure incurred</t>
  </si>
  <si>
    <t>Total Unspent Balance (Commited)</t>
  </si>
  <si>
    <t>State Level
(Rs. Lakhs)</t>
  </si>
  <si>
    <t>District Level
(Rs. Lakhs)</t>
  </si>
  <si>
    <t xml:space="preserve">Call Centres </t>
  </si>
  <si>
    <t xml:space="preserve">Call Centre Outsourced basis </t>
  </si>
  <si>
    <t>State where there is no Call centre for verifying the records and services delivered to beneficiries and informing them for availing the due services on time, should submit the fresh proposal along with the expected outcomes (for e.g., target for verification of records in a month per caller). State where call centre is already in position should submit the proposal along with achievement and action taken status so far based on the verified record (for e.g., the number of records verified and reflected on MCTS portal).</t>
  </si>
  <si>
    <t>State where there is no call centre for verifying the records and services delivered to beneficiaries and informing them for availing the due services on time, should submit  proposal along with the expected outcomes (for e.g., target for verification of records in a month per caller).  For State where call centre is already in position should submit the proposal along with achievement and action taken status so far based on the verified record (for e.g., the number of records verified and reflected on MCTS portal).</t>
  </si>
  <si>
    <t>Option 1: If payment model is per seat basis</t>
  </si>
  <si>
    <t>No. of seats approved</t>
  </si>
  <si>
    <t>Cost per seat per month
(Rs.)</t>
  </si>
  <si>
    <t>Total Expenditure Incurred
(Rs. Lakhs)</t>
  </si>
  <si>
    <t>No. of exisitng seats to be continued</t>
  </si>
  <si>
    <t>No. of new seats proposed</t>
  </si>
  <si>
    <t>Cost per existing seat to be continued
(Rs.)</t>
  </si>
  <si>
    <t>Cost per new proposed seat
(Rs.)</t>
  </si>
  <si>
    <t>No. of hours of operation in a shift</t>
  </si>
  <si>
    <t>No. of shifts for which the seat is operational</t>
  </si>
  <si>
    <t>Cost per shift per month
(Rs.)</t>
  </si>
  <si>
    <t>No. of months for which the seats are required</t>
  </si>
  <si>
    <t>Total Budget Required
(Rs. Lakhs)</t>
  </si>
  <si>
    <t>g=(a*c)+(b*d)</t>
  </si>
  <si>
    <t>i=(f*g*h)/100000</t>
  </si>
  <si>
    <t>Option 2: If payment model is based on calling hours</t>
  </si>
  <si>
    <t>No of hours of actual calling per day per seat</t>
  </si>
  <si>
    <t>Cost per hour of actual calling
(Rs.)</t>
  </si>
  <si>
    <t>No. of actual calling hrs in a day</t>
  </si>
  <si>
    <t xml:space="preserve">Number of Days of operation </t>
  </si>
  <si>
    <t>Budget Required for the PIP in consideration
(Rs. Lakhs)</t>
  </si>
  <si>
    <t>d=(a*b*c)/ 100000</t>
  </si>
  <si>
    <t xml:space="preserve">MCTS </t>
  </si>
  <si>
    <t>Speicfy the Type of UNIT (for eg  seats, calling agents etc)</t>
  </si>
  <si>
    <t>Cost Per Unit (Rs.)</t>
  </si>
  <si>
    <t>Total Number of Units</t>
  </si>
  <si>
    <t>Total Cost
(Rs. Lakhs)</t>
  </si>
  <si>
    <t>Opex Approved  (enter items as applicable)</t>
  </si>
  <si>
    <t>Manpower cost</t>
  </si>
  <si>
    <t>Telecom charges (Telephone, PRI etc.)</t>
  </si>
  <si>
    <t>Internet Connectivity charges</t>
  </si>
  <si>
    <t>Total Expenditure</t>
  </si>
  <si>
    <t xml:space="preserve">Total Unspent Balance (Commited)  </t>
  </si>
  <si>
    <t>Details of Opex Required   (enter items as applicable)</t>
  </si>
  <si>
    <t xml:space="preserve">Total Budget Required for the PIP in consideration </t>
  </si>
  <si>
    <t xml:space="preserve">Other Office Expense </t>
  </si>
  <si>
    <t>Mobile reimbursement (CUG SIM)</t>
  </si>
  <si>
    <t>State where the said activity is already approved should submit the proposal along with the expenditure status and outcomes achieved (for e.g., the number of ANMs and ASHAs whose phone numbers and other details are validated as per information available on MCTS portal, improvement in timeliness in registration of pregnant women and children and updation of their service delivery data on MCTS portal). State where the said activity is not already approved is required to submit the  proposal along with TOR for ANMs / ASHAs and expected outcomes (for e.g., the availability of validated information of ANMs and ASHAs on MCTS portal and the  expected improvement in timeliness in registration of pregnant women and children and updation of their service delivery data on MCTS portal).</t>
  </si>
  <si>
    <t xml:space="preserve">Staff Category  [ASHA or ANM or Others (please specify)] </t>
  </si>
  <si>
    <t>No. of people in concerned staff category for whom approval was provided</t>
  </si>
  <si>
    <t>Price approved per staff per month
(Rs.)</t>
  </si>
  <si>
    <t>Name of the Service Provider</t>
  </si>
  <si>
    <t>No. of people proposed in the concerned staff category</t>
  </si>
  <si>
    <t>Estimated Cost per staff per month
(Rs.)</t>
  </si>
  <si>
    <t>Budget Required 
(Rs. Lakhs)</t>
  </si>
  <si>
    <t>(Annexure to be filled at State level)</t>
  </si>
  <si>
    <t>No. of months proposed</t>
  </si>
  <si>
    <t>c=(a*b*c)/100000</t>
  </si>
  <si>
    <t>(Annexure to be filled at district Level &amp; consolidated across districts at State level)</t>
  </si>
  <si>
    <t>(Annexure to be filled at both district &amp; state level and consolidated across districts at State level)</t>
  </si>
  <si>
    <t>(Annexure to be filled at district level and consolidated across districts at State level)</t>
  </si>
  <si>
    <t>Master input data forms.District details form - A1</t>
  </si>
  <si>
    <t>Proposal for next year PIP (FY : &gt;&gt;Year n+1&lt;&lt; )</t>
  </si>
  <si>
    <t>Aizawl East</t>
  </si>
  <si>
    <t>Aizawl West</t>
  </si>
  <si>
    <t>Champhai</t>
  </si>
  <si>
    <t>Kolasib</t>
  </si>
  <si>
    <t>Lawngtlai</t>
  </si>
  <si>
    <t>Lunglei</t>
  </si>
  <si>
    <t>Mamit</t>
  </si>
  <si>
    <t>Saiha</t>
  </si>
  <si>
    <t>Serchhip</t>
  </si>
  <si>
    <t>State</t>
  </si>
  <si>
    <t>On going actvity.</t>
  </si>
  <si>
    <t>State Data Manager</t>
  </si>
  <si>
    <t>Statistical Assistant</t>
  </si>
  <si>
    <t>Data Entry Operator</t>
  </si>
  <si>
    <t>MCTS Data Verifier</t>
  </si>
  <si>
    <t>State Headquarter</t>
  </si>
  <si>
    <t>YES</t>
  </si>
  <si>
    <t>Yes</t>
  </si>
  <si>
    <t>On going activity</t>
  </si>
  <si>
    <t>UPHC</t>
  </si>
  <si>
    <t>SC Clinics</t>
  </si>
  <si>
    <t>Trainees from SDH/CHC/PHCs</t>
  </si>
  <si>
    <t>Telephone Bill for Toll free</t>
  </si>
  <si>
    <t xml:space="preserve">others (please specify) </t>
  </si>
  <si>
    <t>Others -Procurement of Desktop computer</t>
  </si>
  <si>
    <t>Annual fee and maintenance of NHM website and upgradation of HRIS software</t>
  </si>
  <si>
    <t xml:space="preserve">Outsourcing of DEO </t>
  </si>
  <si>
    <t>Consultant (IT/CP)</t>
  </si>
  <si>
    <t>Consultant (HMIS)</t>
  </si>
  <si>
    <t>Outsourcing of DEO</t>
  </si>
  <si>
    <t xml:space="preserve">All District HQs </t>
  </si>
  <si>
    <t>Others (5 KVA Power back up)</t>
  </si>
  <si>
    <t xml:space="preserve">On going activity, lumpsum budget for Annual fee and maintenance of NHM website and upgradation of HRIS software. The State is in the process of capturing each and every employees under Health &amp; Family Welfare. </t>
  </si>
  <si>
    <t>District Data Manager</t>
  </si>
  <si>
    <t>SC (including SC Clinics)</t>
  </si>
  <si>
    <t>PHC(including UPHC)</t>
  </si>
  <si>
    <t>SDH (including Private Hospital)</t>
  </si>
  <si>
    <t>On going actvity. MIS monthly and Infrastructure  sheet is calculated in respect of availability of DH, SDH (including Private Hospitals) CHCs, PCH/UPHC and Sub Centre including SC clinics in the State. Addition 10% for buffer stock is also included.</t>
  </si>
  <si>
    <t>SN</t>
  </si>
  <si>
    <t>PARTICULARS</t>
  </si>
  <si>
    <t>Other expenditure</t>
  </si>
  <si>
    <t>TOTAL</t>
  </si>
  <si>
    <t>GRAND TOTAL</t>
  </si>
  <si>
    <t>Detailed estimate for District wise fund requirement.</t>
  </si>
  <si>
    <t>2020-21 (8 b) Mobile reimbursement (CUG SIM)</t>
  </si>
  <si>
    <t>2020-21 (7 b) Call Centre Inhouse (through MCTS verifier module)</t>
  </si>
  <si>
    <t xml:space="preserve">2020-21 (7 a) MCTS Call Centre Outsourced basis </t>
  </si>
  <si>
    <t>2020-21 - (4a) RCH Register Printing</t>
  </si>
  <si>
    <t>State and District Hqtrs</t>
  </si>
  <si>
    <r>
      <t>Incentives for ASHA</t>
    </r>
    <r>
      <rPr>
        <sz val="12"/>
        <color rgb="FF000000"/>
        <rFont val="Cambria"/>
        <family val="1"/>
      </rPr>
      <t xml:space="preserve"> : - Incentives for ASHA for reporting 2135 nos. of Domiciliary Birth, 107 Still Birth   and 2060   home Death to Sub Centre and Local Registrar and  Sub Centre Delivery @ Rs.100/-.</t>
    </r>
  </si>
  <si>
    <t>Annual honorarium of Notifier at 112 Institutions @ 4800</t>
  </si>
  <si>
    <t>Aizawl  E</t>
  </si>
  <si>
    <t>Aizawl  W</t>
  </si>
  <si>
    <t>2020-21</t>
  </si>
  <si>
    <t xml:space="preserve">DEO at Dh </t>
  </si>
  <si>
    <t>-</t>
  </si>
  <si>
    <t>Number of trainings site</t>
  </si>
  <si>
    <t>Estimated Number of Workplans to be printed</t>
  </si>
  <si>
    <t>Number of pages per Workplan</t>
  </si>
  <si>
    <t>e=(b*d)/100000</t>
  </si>
  <si>
    <t>1. Ongoing activity at State and at 9  DHQs 
2. Newly Proposed for 9 DH</t>
  </si>
  <si>
    <t>FMR -16.3.4- Computer – Desktop+Printer+Laptop+UPS</t>
  </si>
  <si>
    <t>Proposal for Next year (FY : 2021-22)</t>
  </si>
  <si>
    <t>Total Budget for New Procurement
(Rs. Lakhs)
FMR :16.3.4</t>
  </si>
  <si>
    <t>Total Budget for AMC of existing equipments
(Rs. Lakhs)
FMR : 16.3.3</t>
  </si>
  <si>
    <t>1.On going activity for AMC for Desktop Computer and Printers 
2. Procurement of 12 laptops for 3 DEO 
(Outsource   at State level for MCTS data entry) and 9 for District Data Manager at District level.
3.Procurement of 1 desktop computer for District Data Manager Lawngtlai District</t>
  </si>
  <si>
    <t>Procurement of 9 laptops for Data Entry Operator at 9 DH  and 3 desktop computer for Newly opened PHCs - Ratu PHC under Aizawl East district and  Sesih PHC under  Champhai district and Zobawk PHC under Lunglei</t>
  </si>
  <si>
    <t>FMR : 16.3.3 - Internet Connectivity</t>
  </si>
  <si>
    <t>Proposal for Current PIP (FY : 2021-22 )</t>
  </si>
  <si>
    <t xml:space="preserve">17.5 All other eGovernance initiatives excluding HMIS &amp; MCTS </t>
  </si>
  <si>
    <t xml:space="preserve">Proposal for Next year (FY : 2021-22 </t>
  </si>
  <si>
    <t>FMR : 9.5.26.2 - District Level-4 Training cum Review</t>
  </si>
  <si>
    <t>FMR : 9.5.26.3-  Block Level -12 Training cum Review</t>
  </si>
  <si>
    <t>On going activity.
Newly opened 3 PHC are added in the proposal.</t>
  </si>
  <si>
    <t xml:space="preserve">FMR : 16.3.2 - 2021-22 (6) Mobility Support </t>
  </si>
  <si>
    <t>Proposal for Next year (FY : 2021-22 )</t>
  </si>
  <si>
    <t>Special massenger at CHC/PHC/SC level (Rs. Lakhs)</t>
  </si>
  <si>
    <t>d=(b+c+d)</t>
  </si>
  <si>
    <t>Aizawl E</t>
  </si>
  <si>
    <t>On going actvity State level Mobility Plan= Rs. 6.08 lakhs.
On going actvity. District level Mobility Plan
1. To  visit atleast once one Repoting Facility in a year @ 500 = Rs. 233500/-
2. Monthly visit for 3 low performing SC /1 low performing UPHC/PHC/ CHC/SDH/Private @500 = Rs. 216000/-
Newly proposed CHC/PHC/SC level mobility 
(Special Messenger at District level)
Since all data under HMIS and MCTS are entered at District Headquarters,  some Sub Centres and  PHC/CHC at very difficult areas required special messenger for tranportation of reports to District headquarters during rainy season of the year. (May to October). For this special messenger, minimal cost of hiring  of manual labour or hiring of two wheelers  at CHC/PHC/SC level amounting Rs. 3,63,000/-</t>
  </si>
  <si>
    <t>Aizawl W</t>
  </si>
  <si>
    <t>FMR : 15.9.5 - 2021-22 CIVIL REGISTRATION UNDER HMIS</t>
  </si>
  <si>
    <t>(Rupees Fifteen lakh Sixty One Thousand  Two Hundred ) only</t>
  </si>
  <si>
    <t>POL/TA and Dafor Medical Officer</t>
  </si>
  <si>
    <t>Remarks</t>
  </si>
  <si>
    <t>FMR : 17.5- 2021-22 Annual maintenance of HRIS &amp; NHM Website</t>
  </si>
  <si>
    <t>Previous Year PIP Details (FY: 2020-21)</t>
  </si>
  <si>
    <t>Total Budget for Propose
(Rs. Lakhs)</t>
  </si>
  <si>
    <t>Annual maintenance of HRIS &amp; NHM Website</t>
  </si>
  <si>
    <t>(Rupees Two lakh Fifty  Thousand  ) only</t>
  </si>
  <si>
    <t>TRAINING ON MCCD   AND HMIS FOR   MEDICAL OFFICER</t>
  </si>
  <si>
    <t xml:space="preserve">On going actvity. The formats requirement proposed is  monthly performance reporting formats as per records in the Integrated RCH Register in the Sub Centres. Page size is A3  and  Rate quoted is as  per Printing and Stationeries deptt, Govt. of Mizoram approved rate.  Since all data are entered at State Hqtrs only, printing of reporting  format is proposed for  EC, monthly  services delivery report for FP method users tracking, New Pregnant Women registration, ANC register servuices, ANC services update reports Post delivery and PPC  services and Newly Child registartion and Child  Immunization services.  </t>
  </si>
  <si>
    <t xml:space="preserve">The State is printing the minimun requirement for the Financial Year 2020-21 and 2021-22 during this Financial Year. So, only a 10% buffer stock is proposed for the next Financial Year.
Approved rate given in the RoP 2020-21 is not sufficient enough to print the register as per the Governmenjt norms. So, the current valid rate under Printing &amp; Stationaries Department,  Government of Mizoram is proposed @Rs. 325/EC &amp; PW Register X 210 nos  and Rs. 170/Infant Register X 210 nos. 
The State is splitting the said register into two Register i.e. EC &amp; PW Register and Infant Register and we have also translated into our Local Language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</si>
</sst>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64" formatCode="_(* #,##0.00_);_(* \(#,##0.00\);_(* &quot;-&quot;??_);_(@_)"/>
    <numFmt numFmtId="165" formatCode="_(* #,##0_);_(* \(#,##0\);_(* &quot;-&quot;??_);_(@_)"/>
    <numFmt numFmtId="166" formatCode="_ * #,##0_ ;_ * \-#,##0_ ;_ * &quot;-&quot;??_ ;_ @_ "/>
    <numFmt numFmtId="167" formatCode="0.0"/>
    <numFmt numFmtId="168" formatCode="_(* #,##0.0_);_(* \(#,##0.0\);_(* &quot;-&quot;??_);_(@_)"/>
  </numFmts>
  <fonts count="50">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Arial"/>
      <family val="2"/>
    </font>
    <font>
      <b/>
      <sz val="11"/>
      <color rgb="FFFF0000"/>
      <name val="Calibri"/>
      <family val="2"/>
      <scheme val="minor"/>
    </font>
    <font>
      <sz val="11"/>
      <color theme="1"/>
      <name val="Times New Roman"/>
      <family val="1"/>
    </font>
    <font>
      <sz val="10"/>
      <color theme="1"/>
      <name val="Frutiger LT Std 57 Cn"/>
      <family val="2"/>
    </font>
    <font>
      <sz val="10"/>
      <color theme="1"/>
      <name val="Calibri"/>
      <family val="2"/>
      <scheme val="minor"/>
    </font>
    <font>
      <b/>
      <sz val="11"/>
      <name val="Times New Roman"/>
      <family val="1"/>
    </font>
    <font>
      <sz val="11"/>
      <name val="Times New Roman"/>
      <family val="1"/>
    </font>
    <font>
      <sz val="11"/>
      <color rgb="FFFF0000"/>
      <name val="Times New Roman"/>
      <family val="1"/>
    </font>
    <font>
      <b/>
      <sz val="10"/>
      <color theme="0"/>
      <name val="Calibri"/>
      <family val="2"/>
      <scheme val="minor"/>
    </font>
    <font>
      <b/>
      <sz val="10"/>
      <color rgb="FF000000"/>
      <name val="Calibri"/>
      <family val="2"/>
      <scheme val="minor"/>
    </font>
    <font>
      <sz val="10"/>
      <color rgb="FF000000"/>
      <name val="Calibri"/>
      <family val="2"/>
      <scheme val="minor"/>
    </font>
    <font>
      <i/>
      <sz val="10"/>
      <color theme="1"/>
      <name val="Calibri"/>
      <family val="2"/>
      <scheme val="minor"/>
    </font>
    <font>
      <b/>
      <i/>
      <sz val="10"/>
      <color theme="1"/>
      <name val="Calibri"/>
      <family val="2"/>
      <scheme val="minor"/>
    </font>
    <font>
      <b/>
      <sz val="11"/>
      <color theme="0"/>
      <name val="Calibri"/>
      <family val="2"/>
      <scheme val="minor"/>
    </font>
    <font>
      <sz val="11"/>
      <color theme="0"/>
      <name val="Calibri"/>
      <family val="2"/>
      <scheme val="minor"/>
    </font>
    <font>
      <b/>
      <sz val="10"/>
      <name val="Calibri"/>
      <family val="2"/>
      <scheme val="minor"/>
    </font>
    <font>
      <sz val="10"/>
      <name val="Calibri"/>
      <family val="2"/>
      <scheme val="minor"/>
    </font>
    <font>
      <b/>
      <i/>
      <sz val="8"/>
      <name val="Calibri"/>
      <family val="2"/>
      <scheme val="minor"/>
    </font>
    <font>
      <b/>
      <i/>
      <sz val="9"/>
      <color theme="0"/>
      <name val="Calibri"/>
      <family val="2"/>
      <scheme val="minor"/>
    </font>
    <font>
      <sz val="11"/>
      <name val="Calibri"/>
      <family val="2"/>
      <scheme val="minor"/>
    </font>
    <font>
      <b/>
      <sz val="11"/>
      <name val="Calibri"/>
      <family val="2"/>
      <scheme val="minor"/>
    </font>
    <font>
      <b/>
      <sz val="10"/>
      <color theme="0"/>
      <name val="Cambria"/>
      <family val="2"/>
      <scheme val="major"/>
    </font>
    <font>
      <b/>
      <sz val="10"/>
      <color theme="1"/>
      <name val="Cambria"/>
      <family val="2"/>
      <scheme val="major"/>
    </font>
    <font>
      <b/>
      <i/>
      <sz val="11"/>
      <color theme="1"/>
      <name val="Calibri"/>
      <family val="2"/>
      <scheme val="minor"/>
    </font>
    <font>
      <b/>
      <sz val="11"/>
      <color theme="0"/>
      <name val="Cambria"/>
      <family val="2"/>
      <scheme val="major"/>
    </font>
    <font>
      <b/>
      <sz val="11"/>
      <color theme="1"/>
      <name val="Cambria"/>
      <family val="2"/>
      <scheme val="major"/>
    </font>
    <font>
      <sz val="11"/>
      <name val="Verdana"/>
      <family val="2"/>
    </font>
    <font>
      <b/>
      <sz val="12"/>
      <color theme="1"/>
      <name val="Calibri"/>
      <family val="2"/>
      <scheme val="minor"/>
    </font>
    <font>
      <b/>
      <i/>
      <sz val="12"/>
      <color theme="1"/>
      <name val="Calibri"/>
      <family val="2"/>
      <scheme val="minor"/>
    </font>
    <font>
      <b/>
      <sz val="12"/>
      <color theme="0"/>
      <name val="Calibri"/>
      <family val="2"/>
      <scheme val="minor"/>
    </font>
    <font>
      <sz val="12"/>
      <color theme="1"/>
      <name val="Calibri"/>
      <family val="2"/>
      <scheme val="minor"/>
    </font>
    <font>
      <sz val="11"/>
      <color theme="1"/>
      <name val="Calibri"/>
      <family val="2"/>
    </font>
    <font>
      <sz val="10"/>
      <color theme="1"/>
      <name val="Times New Roman"/>
      <family val="1"/>
    </font>
    <font>
      <i/>
      <sz val="10"/>
      <color rgb="FF000000"/>
      <name val="Calibri"/>
      <family val="2"/>
    </font>
    <font>
      <i/>
      <sz val="10.4"/>
      <color rgb="FF000000"/>
      <name val="Calibri"/>
      <family val="2"/>
    </font>
    <font>
      <sz val="12"/>
      <name val="Arial"/>
      <family val="2"/>
    </font>
    <font>
      <b/>
      <sz val="12"/>
      <name val="Arial"/>
      <family val="2"/>
    </font>
    <font>
      <sz val="11"/>
      <color rgb="FF000000"/>
      <name val="Calibri"/>
      <family val="2"/>
      <scheme val="minor"/>
    </font>
    <font>
      <sz val="12"/>
      <color rgb="FF000000"/>
      <name val="Cambria"/>
      <family val="1"/>
    </font>
    <font>
      <b/>
      <u/>
      <sz val="12"/>
      <color rgb="FF000000"/>
      <name val="Cambria"/>
      <family val="1"/>
    </font>
    <font>
      <i/>
      <sz val="12"/>
      <color rgb="FF000000"/>
      <name val="Cambria"/>
      <family val="1"/>
    </font>
    <font>
      <sz val="11"/>
      <color rgb="FF000000"/>
      <name val="Cambria"/>
      <family val="1"/>
    </font>
    <font>
      <b/>
      <sz val="12"/>
      <color rgb="FF000000"/>
      <name val="Cambria"/>
      <family val="1"/>
    </font>
    <font>
      <b/>
      <sz val="16"/>
      <color theme="1"/>
      <name val="Calibri"/>
      <family val="2"/>
      <scheme val="minor"/>
    </font>
    <font>
      <b/>
      <sz val="11"/>
      <color rgb="FF000000"/>
      <name val="Calibri"/>
      <family val="2"/>
      <scheme val="minor"/>
    </font>
    <font>
      <b/>
      <sz val="11"/>
      <color rgb="FF000000"/>
      <name val="Cambria"/>
      <family val="1"/>
    </font>
  </fonts>
  <fills count="17">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00B0F0"/>
        <bgColor indexed="64"/>
      </patternFill>
    </fill>
    <fill>
      <patternFill patternType="solid">
        <fgColor rgb="FF0070C0"/>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s>
  <cellStyleXfs count="11">
    <xf numFmtId="0" fontId="0" fillId="0" borderId="0"/>
    <xf numFmtId="164" fontId="1" fillId="0" borderId="0" applyFont="0" applyFill="0" applyBorder="0" applyAlignment="0" applyProtection="0"/>
    <xf numFmtId="0" fontId="4" fillId="0" borderId="0">
      <alignment wrapText="1"/>
    </xf>
    <xf numFmtId="43" fontId="1" fillId="0" borderId="0" applyFont="0" applyFill="0" applyBorder="0" applyAlignment="0" applyProtection="0"/>
    <xf numFmtId="0" fontId="7" fillId="0" borderId="0">
      <alignment horizontal="right" vertical="center" indent="1"/>
    </xf>
    <xf numFmtId="0" fontId="4" fillId="0" borderId="0">
      <alignment wrapText="1"/>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65">
    <xf numFmtId="0" fontId="0" fillId="0" borderId="0" xfId="0"/>
    <xf numFmtId="0" fontId="3" fillId="2" borderId="1" xfId="0" applyFont="1" applyFill="1" applyBorder="1" applyAlignment="1">
      <alignment horizontal="center" vertical="top" wrapText="1"/>
    </xf>
    <xf numFmtId="0" fontId="0" fillId="0" borderId="0" xfId="0" applyAlignment="1">
      <alignment wrapText="1"/>
    </xf>
    <xf numFmtId="0" fontId="0" fillId="0" borderId="1" xfId="0" applyBorder="1" applyAlignment="1">
      <alignment wrapText="1"/>
    </xf>
    <xf numFmtId="165" fontId="0" fillId="0" borderId="1" xfId="1" applyNumberFormat="1" applyFont="1" applyBorder="1" applyAlignment="1">
      <alignment wrapText="1"/>
    </xf>
    <xf numFmtId="165" fontId="0" fillId="0" borderId="1" xfId="0" applyNumberFormat="1" applyBorder="1" applyAlignment="1">
      <alignment wrapText="1"/>
    </xf>
    <xf numFmtId="0" fontId="2" fillId="2" borderId="1" xfId="0" applyFont="1" applyFill="1" applyBorder="1" applyAlignment="1">
      <alignment horizontal="center" vertical="top" wrapText="1"/>
    </xf>
    <xf numFmtId="0" fontId="0" fillId="0" borderId="0" xfId="0" applyAlignment="1"/>
    <xf numFmtId="0" fontId="6" fillId="0" borderId="1" xfId="0" applyFont="1" applyBorder="1" applyAlignment="1">
      <alignment wrapText="1"/>
    </xf>
    <xf numFmtId="165" fontId="6" fillId="0" borderId="1" xfId="1" applyNumberFormat="1" applyFont="1" applyBorder="1" applyAlignment="1">
      <alignment wrapText="1"/>
    </xf>
    <xf numFmtId="165" fontId="6" fillId="0" borderId="1" xfId="0" applyNumberFormat="1" applyFont="1" applyBorder="1" applyAlignment="1">
      <alignment wrapText="1"/>
    </xf>
    <xf numFmtId="0" fontId="6" fillId="0" borderId="1" xfId="0" applyFont="1" applyBorder="1" applyAlignment="1"/>
    <xf numFmtId="0" fontId="8" fillId="0" borderId="0" xfId="0" applyFont="1"/>
    <xf numFmtId="0" fontId="10" fillId="0" borderId="0" xfId="0" applyFont="1" applyFill="1" applyAlignment="1">
      <alignment vertical="top"/>
    </xf>
    <xf numFmtId="0" fontId="9" fillId="4" borderId="1" xfId="0" applyFont="1" applyFill="1" applyBorder="1" applyAlignment="1">
      <alignment horizontal="center" vertical="top" wrapText="1"/>
    </xf>
    <xf numFmtId="0" fontId="9" fillId="4" borderId="1" xfId="0" applyNumberFormat="1" applyFont="1" applyFill="1" applyBorder="1" applyAlignment="1">
      <alignment horizontal="center" vertical="top" wrapText="1"/>
    </xf>
    <xf numFmtId="0" fontId="9" fillId="0" borderId="1" xfId="0" applyFont="1" applyFill="1" applyBorder="1" applyAlignment="1">
      <alignment vertical="top"/>
    </xf>
    <xf numFmtId="0" fontId="10" fillId="0" borderId="1" xfId="0" applyNumberFormat="1" applyFont="1" applyFill="1" applyBorder="1" applyAlignment="1">
      <alignment vertical="top"/>
    </xf>
    <xf numFmtId="0" fontId="10" fillId="0" borderId="1" xfId="0" applyFont="1" applyFill="1" applyBorder="1" applyAlignment="1">
      <alignment vertical="top"/>
    </xf>
    <xf numFmtId="0" fontId="10" fillId="0" borderId="1" xfId="0" applyFont="1" applyFill="1" applyBorder="1" applyAlignment="1">
      <alignment horizontal="center" vertical="top"/>
    </xf>
    <xf numFmtId="0" fontId="10" fillId="0" borderId="0" xfId="0" applyFont="1" applyFill="1" applyAlignment="1">
      <alignment vertical="top" wrapText="1"/>
    </xf>
    <xf numFmtId="0" fontId="10" fillId="0"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0" fontId="10" fillId="0" borderId="1" xfId="0" applyFont="1" applyFill="1" applyBorder="1" applyAlignment="1">
      <alignment vertical="top" wrapText="1"/>
    </xf>
    <xf numFmtId="0" fontId="10" fillId="0" borderId="0" xfId="0" applyNumberFormat="1" applyFont="1" applyFill="1" applyAlignment="1">
      <alignment vertical="top"/>
    </xf>
    <xf numFmtId="0" fontId="8" fillId="0" borderId="0" xfId="0" applyFont="1" applyAlignment="1">
      <alignment wrapText="1"/>
    </xf>
    <xf numFmtId="0" fontId="12" fillId="6" borderId="1" xfId="0" applyFont="1" applyFill="1" applyBorder="1" applyAlignment="1">
      <alignment horizontal="center" vertical="center" wrapText="1"/>
    </xf>
    <xf numFmtId="0" fontId="4" fillId="0" borderId="1" xfId="2" applyFont="1" applyFill="1" applyBorder="1" applyAlignment="1">
      <alignment vertical="center" wrapText="1"/>
    </xf>
    <xf numFmtId="0" fontId="4" fillId="0" borderId="1" xfId="2" applyFont="1" applyFill="1" applyBorder="1" applyAlignment="1">
      <alignment horizontal="left" vertical="center" wrapText="1"/>
    </xf>
    <xf numFmtId="0" fontId="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43" fontId="8" fillId="0" borderId="0" xfId="0" applyNumberFormat="1" applyFont="1" applyAlignment="1">
      <alignment vertical="center"/>
    </xf>
    <xf numFmtId="43" fontId="8" fillId="0" borderId="0" xfId="6" applyFont="1" applyAlignment="1">
      <alignment vertical="center"/>
    </xf>
    <xf numFmtId="0" fontId="3" fillId="0" borderId="1" xfId="0" applyFont="1" applyBorder="1" applyAlignment="1">
      <alignment vertical="center"/>
    </xf>
    <xf numFmtId="0" fontId="8" fillId="0" borderId="1" xfId="0" applyFont="1" applyBorder="1" applyAlignment="1">
      <alignment horizontal="center" vertical="center"/>
    </xf>
    <xf numFmtId="166" fontId="8" fillId="0" borderId="1" xfId="6" applyNumberFormat="1" applyFont="1" applyBorder="1" applyAlignment="1">
      <alignment vertical="center"/>
    </xf>
    <xf numFmtId="43" fontId="8" fillId="0" borderId="1" xfId="6" applyFont="1" applyBorder="1" applyAlignment="1">
      <alignment vertical="center"/>
    </xf>
    <xf numFmtId="0" fontId="8"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166" fontId="8" fillId="0" borderId="1" xfId="6" applyNumberFormat="1" applyFont="1" applyBorder="1" applyAlignment="1">
      <alignment vertical="center" wrapText="1"/>
    </xf>
    <xf numFmtId="0" fontId="8" fillId="0" borderId="1" xfId="0" applyFont="1" applyFill="1" applyBorder="1" applyAlignment="1">
      <alignment vertical="center" wrapText="1"/>
    </xf>
    <xf numFmtId="0" fontId="14" fillId="0" borderId="1" xfId="0" applyFont="1" applyFill="1" applyBorder="1" applyAlignment="1">
      <alignment vertical="center" wrapText="1"/>
    </xf>
    <xf numFmtId="0" fontId="8" fillId="0" borderId="0" xfId="0" applyFont="1" applyFill="1"/>
    <xf numFmtId="0" fontId="3" fillId="5" borderId="1" xfId="0" applyFont="1" applyFill="1" applyBorder="1" applyAlignment="1">
      <alignment horizontal="center" vertical="center" wrapText="1"/>
    </xf>
    <xf numFmtId="0" fontId="3" fillId="3" borderId="1" xfId="0" applyFont="1" applyFill="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vertical="center"/>
    </xf>
    <xf numFmtId="0" fontId="15" fillId="0" borderId="0" xfId="0" applyFont="1" applyAlignment="1">
      <alignment vertical="center"/>
    </xf>
    <xf numFmtId="0" fontId="3" fillId="0" borderId="3" xfId="0" applyFont="1" applyBorder="1" applyAlignment="1">
      <alignment vertical="center"/>
    </xf>
    <xf numFmtId="0" fontId="8" fillId="9" borderId="1" xfId="0" applyFont="1" applyFill="1" applyBorder="1" applyAlignment="1">
      <alignment vertical="center"/>
    </xf>
    <xf numFmtId="0" fontId="3" fillId="9" borderId="1" xfId="0" applyFont="1" applyFill="1" applyBorder="1" applyAlignment="1">
      <alignment vertical="center"/>
    </xf>
    <xf numFmtId="166" fontId="3" fillId="9" borderId="1" xfId="6" applyNumberFormat="1" applyFont="1" applyFill="1" applyBorder="1" applyAlignment="1">
      <alignment vertical="center"/>
    </xf>
    <xf numFmtId="0" fontId="13" fillId="8" borderId="1" xfId="0" applyFont="1" applyFill="1" applyBorder="1" applyAlignment="1">
      <alignment horizontal="left" vertical="center" wrapText="1"/>
    </xf>
    <xf numFmtId="43" fontId="8" fillId="0" borderId="1" xfId="0" applyNumberFormat="1" applyFont="1" applyBorder="1" applyAlignment="1">
      <alignment vertical="center"/>
    </xf>
    <xf numFmtId="0" fontId="13" fillId="8" borderId="1" xfId="0" applyFont="1" applyFill="1" applyBorder="1" applyAlignment="1">
      <alignment horizontal="left" vertical="center" wrapText="1"/>
    </xf>
    <xf numFmtId="0" fontId="16" fillId="0" borderId="0" xfId="0" applyFont="1" applyAlignment="1">
      <alignment vertical="center"/>
    </xf>
    <xf numFmtId="0" fontId="3" fillId="0" borderId="0" xfId="0" applyFont="1" applyAlignment="1">
      <alignment horizontal="left" vertical="center"/>
    </xf>
    <xf numFmtId="0" fontId="3" fillId="10" borderId="1" xfId="0" applyFont="1" applyFill="1" applyBorder="1" applyAlignment="1">
      <alignment horizontal="center" vertical="center"/>
    </xf>
    <xf numFmtId="0" fontId="8" fillId="10" borderId="1" xfId="0" applyFont="1" applyFill="1" applyBorder="1" applyAlignment="1">
      <alignment vertical="center"/>
    </xf>
    <xf numFmtId="0" fontId="9" fillId="4" borderId="1" xfId="0" applyFont="1" applyFill="1" applyBorder="1" applyAlignment="1">
      <alignment horizontal="center" vertical="top" wrapText="1"/>
    </xf>
    <xf numFmtId="0" fontId="3" fillId="9" borderId="1" xfId="0" applyFont="1" applyFill="1" applyBorder="1" applyAlignment="1">
      <alignment horizontal="left" vertical="center"/>
    </xf>
    <xf numFmtId="0" fontId="3" fillId="11" borderId="1" xfId="0" applyFont="1" applyFill="1" applyBorder="1" applyAlignment="1">
      <alignment vertical="center"/>
    </xf>
    <xf numFmtId="0" fontId="8" fillId="11" borderId="1" xfId="0" applyFont="1" applyFill="1" applyBorder="1" applyAlignment="1">
      <alignment vertical="center" wrapText="1"/>
    </xf>
    <xf numFmtId="0" fontId="3" fillId="11" borderId="3" xfId="0" applyFont="1" applyFill="1" applyBorder="1" applyAlignment="1">
      <alignment vertical="center"/>
    </xf>
    <xf numFmtId="0" fontId="9" fillId="0" borderId="1" xfId="0" applyFont="1" applyFill="1" applyBorder="1" applyAlignment="1">
      <alignment horizontal="center" vertical="top" wrapText="1"/>
    </xf>
    <xf numFmtId="0" fontId="19"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vertical="center"/>
    </xf>
    <xf numFmtId="43" fontId="20" fillId="0" borderId="0" xfId="0" applyNumberFormat="1" applyFont="1" applyAlignment="1">
      <alignment vertical="center"/>
    </xf>
    <xf numFmtId="0" fontId="20" fillId="0" borderId="0" xfId="0" applyFont="1" applyAlignment="1">
      <alignment horizontal="center" vertical="center"/>
    </xf>
    <xf numFmtId="0" fontId="21"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wrapText="1"/>
    </xf>
    <xf numFmtId="0" fontId="17" fillId="13" borderId="1" xfId="0" applyFont="1" applyFill="1" applyBorder="1" applyAlignment="1">
      <alignment horizontal="center" vertical="top" wrapText="1"/>
    </xf>
    <xf numFmtId="0" fontId="19" fillId="5" borderId="1"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8" borderId="2" xfId="0" applyFont="1" applyFill="1" applyBorder="1" applyAlignment="1">
      <alignment horizontal="left" vertical="center"/>
    </xf>
    <xf numFmtId="0" fontId="19" fillId="8" borderId="2"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23" fillId="0" borderId="1" xfId="0" applyFont="1" applyBorder="1" applyAlignment="1">
      <alignment horizontal="left" vertical="top" wrapText="1"/>
    </xf>
    <xf numFmtId="0" fontId="24" fillId="0" borderId="1" xfId="0" applyFont="1" applyBorder="1" applyAlignment="1">
      <alignment vertical="top" wrapText="1"/>
    </xf>
    <xf numFmtId="0" fontId="23" fillId="0" borderId="1" xfId="0" applyFont="1" applyBorder="1"/>
    <xf numFmtId="0" fontId="24" fillId="0" borderId="1" xfId="0" applyFont="1" applyBorder="1" applyAlignment="1">
      <alignment horizontal="center" vertical="top" wrapText="1"/>
    </xf>
    <xf numFmtId="0" fontId="23" fillId="0" borderId="1" xfId="0" applyFont="1" applyBorder="1" applyAlignment="1">
      <alignment wrapText="1"/>
    </xf>
    <xf numFmtId="0" fontId="20" fillId="0" borderId="2" xfId="0" applyFont="1" applyBorder="1" applyAlignment="1">
      <alignment vertical="center"/>
    </xf>
    <xf numFmtId="0" fontId="20" fillId="0" borderId="1" xfId="0" applyFont="1" applyBorder="1" applyAlignment="1">
      <alignment horizontal="center" vertical="center"/>
    </xf>
    <xf numFmtId="0" fontId="20" fillId="0" borderId="1" xfId="0" applyFont="1" applyBorder="1" applyAlignment="1">
      <alignment vertical="center" wrapText="1"/>
    </xf>
    <xf numFmtId="0" fontId="20" fillId="0" borderId="1" xfId="0" applyFont="1" applyBorder="1" applyAlignment="1">
      <alignment vertical="center"/>
    </xf>
    <xf numFmtId="0" fontId="20" fillId="0" borderId="2" xfId="0"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8" fillId="0" borderId="0" xfId="0" applyFont="1" applyFill="1" applyAlignment="1">
      <alignment vertical="center"/>
    </xf>
    <xf numFmtId="0" fontId="3" fillId="10" borderId="1" xfId="0" applyFont="1" applyFill="1" applyBorder="1" applyAlignment="1">
      <alignment vertical="center"/>
    </xf>
    <xf numFmtId="0" fontId="3" fillId="0" borderId="0" xfId="0" applyFont="1" applyAlignment="1">
      <alignment horizontal="center" vertical="center"/>
    </xf>
    <xf numFmtId="0" fontId="0" fillId="0" borderId="0" xfId="0" applyAlignment="1">
      <alignment horizontal="center" vertical="center" wrapText="1"/>
    </xf>
    <xf numFmtId="0" fontId="12" fillId="6" borderId="2"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11"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3" fillId="11" borderId="2" xfId="0" applyFont="1" applyFill="1" applyBorder="1" applyAlignment="1">
      <alignment vertical="center"/>
    </xf>
    <xf numFmtId="0" fontId="23" fillId="0" borderId="1" xfId="0" applyFont="1" applyBorder="1" applyAlignment="1">
      <alignment horizontal="center" vertical="center" wrapText="1"/>
    </xf>
    <xf numFmtId="0" fontId="3" fillId="0" borderId="5" xfId="0" applyFont="1" applyBorder="1" applyAlignment="1">
      <alignment vertical="center"/>
    </xf>
    <xf numFmtId="0" fontId="19" fillId="8" borderId="6" xfId="0" applyFont="1" applyFill="1" applyBorder="1" applyAlignment="1">
      <alignment horizontal="left" vertical="center"/>
    </xf>
    <xf numFmtId="0" fontId="8" fillId="8" borderId="1" xfId="0" applyFont="1" applyFill="1" applyBorder="1" applyAlignment="1">
      <alignment vertical="center"/>
    </xf>
    <xf numFmtId="0" fontId="19" fillId="0" borderId="1" xfId="0" applyFont="1" applyFill="1" applyBorder="1" applyAlignment="1">
      <alignment horizontal="left" vertical="center"/>
    </xf>
    <xf numFmtId="0" fontId="8" fillId="0" borderId="1" xfId="0" applyFont="1" applyFill="1" applyBorder="1" applyAlignment="1">
      <alignment vertical="center"/>
    </xf>
    <xf numFmtId="0" fontId="10" fillId="0" borderId="2" xfId="0" applyNumberFormat="1" applyFont="1" applyFill="1" applyBorder="1" applyAlignment="1">
      <alignment vertical="top" wrapText="1"/>
    </xf>
    <xf numFmtId="0" fontId="3" fillId="0" borderId="4" xfId="0" applyFont="1" applyFill="1" applyBorder="1" applyAlignment="1">
      <alignment vertical="center"/>
    </xf>
    <xf numFmtId="0" fontId="16" fillId="0" borderId="4" xfId="0" applyFont="1" applyFill="1" applyBorder="1" applyAlignment="1">
      <alignment vertical="center"/>
    </xf>
    <xf numFmtId="0" fontId="12" fillId="7" borderId="0" xfId="0" applyFont="1" applyFill="1" applyBorder="1" applyAlignment="1">
      <alignment horizontal="center"/>
    </xf>
    <xf numFmtId="0" fontId="18" fillId="0" borderId="0" xfId="0" applyFont="1"/>
    <xf numFmtId="0" fontId="25" fillId="6" borderId="1" xfId="0" applyFont="1" applyFill="1" applyBorder="1" applyAlignment="1">
      <alignment horizontal="center" vertical="center" wrapText="1"/>
    </xf>
    <xf numFmtId="0" fontId="3"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6" fillId="5" borderId="1" xfId="0" applyFont="1" applyFill="1" applyBorder="1" applyAlignment="1">
      <alignment horizontal="center" vertical="center" wrapText="1"/>
    </xf>
    <xf numFmtId="0" fontId="23" fillId="0" borderId="1" xfId="0" applyFont="1" applyBorder="1" applyAlignment="1">
      <alignment vertical="center"/>
    </xf>
    <xf numFmtId="0" fontId="23" fillId="11" borderId="1" xfId="0" applyFont="1" applyFill="1" applyBorder="1" applyAlignment="1">
      <alignment vertical="center" wrapText="1"/>
    </xf>
    <xf numFmtId="0" fontId="23" fillId="11" borderId="1" xfId="0" applyFont="1" applyFill="1" applyBorder="1" applyAlignment="1">
      <alignment vertical="center"/>
    </xf>
    <xf numFmtId="0" fontId="2" fillId="0" borderId="4" xfId="0" applyFont="1" applyFill="1" applyBorder="1" applyAlignment="1">
      <alignment vertical="center"/>
    </xf>
    <xf numFmtId="0" fontId="27" fillId="0" borderId="4" xfId="0" applyFont="1" applyFill="1" applyBorder="1" applyAlignment="1">
      <alignment vertical="center"/>
    </xf>
    <xf numFmtId="0" fontId="0" fillId="0" borderId="0" xfId="0" applyFont="1"/>
    <xf numFmtId="0" fontId="18" fillId="0" borderId="0" xfId="0" applyFont="1" applyAlignment="1">
      <alignment vertical="center"/>
    </xf>
    <xf numFmtId="0" fontId="28"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0" fillId="0" borderId="0" xfId="0" applyFont="1" applyAlignment="1">
      <alignment wrapText="1"/>
    </xf>
    <xf numFmtId="0" fontId="29" fillId="5" borderId="1" xfId="0" applyFont="1" applyFill="1" applyBorder="1" applyAlignment="1">
      <alignment horizontal="center" vertical="center" wrapText="1"/>
    </xf>
    <xf numFmtId="0" fontId="30" fillId="0" borderId="0" xfId="5" applyFont="1">
      <alignment wrapText="1"/>
    </xf>
    <xf numFmtId="0" fontId="0" fillId="0" borderId="1" xfId="0" applyFont="1" applyBorder="1" applyAlignment="1">
      <alignment vertical="center"/>
    </xf>
    <xf numFmtId="0" fontId="0" fillId="0" borderId="0" xfId="0" applyFont="1" applyAlignment="1">
      <alignment vertical="center"/>
    </xf>
    <xf numFmtId="0" fontId="0" fillId="0" borderId="1" xfId="0" applyFont="1" applyBorder="1" applyAlignment="1">
      <alignment horizontal="center" vertical="center"/>
    </xf>
    <xf numFmtId="0" fontId="2" fillId="9" borderId="1" xfId="0" applyFont="1" applyFill="1" applyBorder="1" applyAlignment="1">
      <alignment vertical="center"/>
    </xf>
    <xf numFmtId="0" fontId="2" fillId="10" borderId="1" xfId="0" applyFont="1" applyFill="1" applyBorder="1" applyAlignment="1">
      <alignment vertical="center"/>
    </xf>
    <xf numFmtId="0" fontId="2" fillId="10" borderId="1" xfId="0" applyFont="1" applyFill="1" applyBorder="1" applyAlignment="1">
      <alignment horizontal="center" vertical="center"/>
    </xf>
    <xf numFmtId="0" fontId="25" fillId="6" borderId="6" xfId="0" applyFont="1" applyFill="1" applyBorder="1" applyAlignment="1">
      <alignment horizontal="center" vertical="center" wrapText="1"/>
    </xf>
    <xf numFmtId="0" fontId="31" fillId="0" borderId="11" xfId="0" applyFont="1" applyFill="1" applyBorder="1" applyAlignment="1">
      <alignment vertical="top"/>
    </xf>
    <xf numFmtId="0" fontId="31" fillId="0" borderId="0" xfId="0" applyFont="1" applyFill="1" applyBorder="1" applyAlignment="1">
      <alignment vertical="top"/>
    </xf>
    <xf numFmtId="0" fontId="32" fillId="0" borderId="0" xfId="0" applyFont="1" applyFill="1" applyBorder="1" applyAlignment="1">
      <alignment vertical="top"/>
    </xf>
    <xf numFmtId="0" fontId="0" fillId="0" borderId="0" xfId="0" applyAlignment="1">
      <alignment vertical="center"/>
    </xf>
    <xf numFmtId="0" fontId="34" fillId="11" borderId="1" xfId="0" applyFont="1" applyFill="1" applyBorder="1" applyAlignment="1">
      <alignment horizontal="center" vertical="center" wrapText="1"/>
    </xf>
    <xf numFmtId="0" fontId="35" fillId="11" borderId="1" xfId="0" applyFont="1" applyFill="1" applyBorder="1" applyAlignment="1">
      <alignment wrapText="1"/>
    </xf>
    <xf numFmtId="0" fontId="0" fillId="0" borderId="1" xfId="0" applyBorder="1"/>
    <xf numFmtId="166" fontId="34" fillId="0" borderId="1" xfId="3" applyNumberFormat="1" applyFont="1" applyBorder="1"/>
    <xf numFmtId="0" fontId="6" fillId="11" borderId="1" xfId="0" applyFont="1" applyFill="1" applyBorder="1" applyAlignment="1">
      <alignment wrapText="1"/>
    </xf>
    <xf numFmtId="0" fontId="34" fillId="0" borderId="0" xfId="0" applyFont="1"/>
    <xf numFmtId="0" fontId="34" fillId="9" borderId="1" xfId="0" applyFont="1" applyFill="1" applyBorder="1"/>
    <xf numFmtId="0" fontId="3" fillId="0" borderId="12" xfId="0" applyFont="1" applyFill="1" applyBorder="1" applyAlignment="1">
      <alignment horizontal="left"/>
    </xf>
    <xf numFmtId="0" fontId="3" fillId="0" borderId="5" xfId="0" applyFont="1" applyFill="1" applyBorder="1" applyAlignment="1">
      <alignment horizontal="left"/>
    </xf>
    <xf numFmtId="0" fontId="16" fillId="0" borderId="0" xfId="0" applyFont="1" applyAlignment="1">
      <alignment wrapText="1"/>
    </xf>
    <xf numFmtId="0" fontId="12" fillId="1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36" fillId="0" borderId="1" xfId="0" applyFont="1" applyBorder="1" applyAlignment="1">
      <alignment wrapText="1"/>
    </xf>
    <xf numFmtId="0" fontId="36" fillId="11" borderId="1" xfId="0" applyFont="1" applyFill="1" applyBorder="1" applyAlignment="1">
      <alignment wrapText="1"/>
    </xf>
    <xf numFmtId="0" fontId="2" fillId="0" borderId="12" xfId="0" applyFont="1" applyFill="1" applyBorder="1" applyAlignment="1">
      <alignment horizontal="left"/>
    </xf>
    <xf numFmtId="0" fontId="2" fillId="0" borderId="5" xfId="0" applyFont="1" applyFill="1" applyBorder="1" applyAlignment="1">
      <alignment horizontal="left"/>
    </xf>
    <xf numFmtId="0" fontId="27" fillId="0" borderId="0" xfId="0" applyFont="1" applyAlignment="1">
      <alignment wrapText="1"/>
    </xf>
    <xf numFmtId="0" fontId="0" fillId="0" borderId="1" xfId="0" applyFont="1" applyBorder="1"/>
    <xf numFmtId="166" fontId="0" fillId="0" borderId="1" xfId="3" applyNumberFormat="1" applyFont="1" applyBorder="1"/>
    <xf numFmtId="0" fontId="0" fillId="0" borderId="0" xfId="0" applyFont="1" applyAlignment="1"/>
    <xf numFmtId="0" fontId="27" fillId="0" borderId="0" xfId="0" applyFont="1" applyAlignment="1"/>
    <xf numFmtId="0" fontId="36" fillId="11" borderId="1" xfId="0" applyFont="1" applyFill="1" applyBorder="1" applyAlignment="1">
      <alignment vertical="center" wrapText="1"/>
    </xf>
    <xf numFmtId="0" fontId="0" fillId="0" borderId="1" xfId="0" applyFont="1" applyBorder="1" applyAlignment="1">
      <alignment wrapText="1"/>
    </xf>
    <xf numFmtId="166" fontId="0" fillId="0" borderId="1" xfId="3" applyNumberFormat="1" applyFont="1" applyBorder="1" applyAlignment="1">
      <alignment wrapText="1"/>
    </xf>
    <xf numFmtId="0" fontId="2" fillId="9" borderId="1" xfId="0" applyFont="1" applyFill="1" applyBorder="1" applyAlignment="1">
      <alignment vertical="center" wrapText="1"/>
    </xf>
    <xf numFmtId="0" fontId="2" fillId="10" borderId="1" xfId="0" applyFont="1" applyFill="1" applyBorder="1" applyAlignment="1">
      <alignment vertical="center" wrapText="1"/>
    </xf>
    <xf numFmtId="0" fontId="10" fillId="0" borderId="1" xfId="0" applyFont="1" applyFill="1" applyBorder="1" applyAlignment="1">
      <alignment horizontal="left" vertical="top"/>
    </xf>
    <xf numFmtId="0" fontId="2" fillId="0" borderId="6" xfId="0" applyFont="1" applyBorder="1" applyAlignment="1">
      <alignment vertical="center"/>
    </xf>
    <xf numFmtId="0" fontId="2" fillId="0" borderId="4" xfId="0" applyFont="1" applyBorder="1" applyAlignment="1">
      <alignment vertical="center"/>
    </xf>
    <xf numFmtId="0" fontId="27" fillId="0" borderId="7" xfId="0" applyFont="1" applyBorder="1" applyAlignment="1">
      <alignment vertical="center"/>
    </xf>
    <xf numFmtId="0" fontId="0" fillId="0" borderId="0" xfId="0" applyFont="1" applyAlignment="1">
      <alignment vertical="center" wrapText="1"/>
    </xf>
    <xf numFmtId="0" fontId="17" fillId="6" borderId="2" xfId="0" applyFont="1" applyFill="1" applyBorder="1" applyAlignment="1">
      <alignment horizontal="center" vertical="center" wrapText="1"/>
    </xf>
    <xf numFmtId="0" fontId="0" fillId="0" borderId="1" xfId="0" applyFont="1" applyBorder="1" applyAlignment="1">
      <alignment vertical="center" wrapText="1"/>
    </xf>
    <xf numFmtId="0" fontId="2" fillId="9" borderId="1" xfId="0" applyFont="1" applyFill="1" applyBorder="1" applyAlignment="1">
      <alignment horizontal="left" vertical="center"/>
    </xf>
    <xf numFmtId="0" fontId="2" fillId="0" borderId="0" xfId="0" applyFont="1" applyAlignment="1">
      <alignment vertical="center"/>
    </xf>
    <xf numFmtId="0" fontId="0" fillId="0" borderId="0" xfId="0" applyFont="1" applyAlignment="1">
      <alignment horizontal="center" vertical="center"/>
    </xf>
    <xf numFmtId="0" fontId="2" fillId="8" borderId="1" xfId="0" applyFont="1" applyFill="1" applyBorder="1" applyAlignment="1">
      <alignment vertical="center" wrapText="1"/>
    </xf>
    <xf numFmtId="0" fontId="2" fillId="8" borderId="1" xfId="0" applyFont="1" applyFill="1" applyBorder="1"/>
    <xf numFmtId="0" fontId="17"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0" borderId="0" xfId="0" applyFont="1" applyAlignment="1">
      <alignment horizontal="center" vertical="center"/>
    </xf>
    <xf numFmtId="0" fontId="2" fillId="8" borderId="1" xfId="0" applyFont="1" applyFill="1" applyBorder="1" applyAlignment="1">
      <alignment horizontal="center"/>
    </xf>
    <xf numFmtId="0" fontId="17" fillId="0" borderId="0" xfId="0" applyFont="1" applyAlignment="1">
      <alignment vertical="center"/>
    </xf>
    <xf numFmtId="0" fontId="17" fillId="6" borderId="1" xfId="0" applyFont="1" applyFill="1" applyBorder="1" applyAlignment="1">
      <alignment vertical="center"/>
    </xf>
    <xf numFmtId="0" fontId="17" fillId="6" borderId="1" xfId="0" applyFont="1" applyFill="1" applyBorder="1" applyAlignment="1">
      <alignment vertical="center" wrapText="1"/>
    </xf>
    <xf numFmtId="0" fontId="3" fillId="0" borderId="1" xfId="0" applyFont="1" applyBorder="1" applyAlignment="1">
      <alignment horizontal="center" vertical="center"/>
    </xf>
    <xf numFmtId="0" fontId="3" fillId="15" borderId="1" xfId="0" applyFont="1" applyFill="1" applyBorder="1" applyAlignment="1">
      <alignment horizontal="center" vertical="center"/>
    </xf>
    <xf numFmtId="0" fontId="8" fillId="15" borderId="1" xfId="0" applyFont="1" applyFill="1" applyBorder="1" applyAlignment="1">
      <alignment horizontal="center" vertical="center"/>
    </xf>
    <xf numFmtId="0" fontId="0" fillId="0" borderId="1" xfId="0" applyFont="1" applyBorder="1" applyAlignment="1">
      <alignment horizontal="left" vertical="top" wrapText="1"/>
    </xf>
    <xf numFmtId="0" fontId="2" fillId="0" borderId="1" xfId="0" applyFont="1" applyBorder="1" applyAlignment="1">
      <alignment vertical="top" wrapText="1"/>
    </xf>
    <xf numFmtId="0" fontId="0" fillId="10" borderId="1" xfId="0" applyFont="1" applyFill="1" applyBorder="1" applyAlignment="1">
      <alignment wrapText="1"/>
    </xf>
    <xf numFmtId="0" fontId="17" fillId="9" borderId="1" xfId="0" applyFont="1" applyFill="1" applyBorder="1" applyAlignment="1">
      <alignment vertical="center"/>
    </xf>
    <xf numFmtId="0" fontId="12" fillId="6" borderId="1" xfId="0" applyFont="1" applyFill="1" applyBorder="1" applyAlignment="1">
      <alignment horizontal="center" vertical="center" wrapText="1"/>
    </xf>
    <xf numFmtId="0" fontId="37" fillId="0" borderId="0" xfId="0" applyFont="1" applyFill="1" applyBorder="1"/>
    <xf numFmtId="0" fontId="3" fillId="0" borderId="0" xfId="0" applyFont="1" applyFill="1" applyBorder="1" applyAlignment="1">
      <alignment vertical="center"/>
    </xf>
    <xf numFmtId="0" fontId="16" fillId="0" borderId="9" xfId="0" applyFont="1" applyFill="1" applyBorder="1" applyAlignment="1">
      <alignment vertical="center"/>
    </xf>
    <xf numFmtId="0" fontId="3" fillId="16" borderId="1" xfId="0" applyFont="1" applyFill="1" applyBorder="1" applyAlignment="1">
      <alignment vertical="center"/>
    </xf>
    <xf numFmtId="0" fontId="3" fillId="16" borderId="1" xfId="0" applyFont="1" applyFill="1" applyBorder="1" applyAlignment="1">
      <alignment horizontal="center" vertical="center"/>
    </xf>
    <xf numFmtId="0" fontId="2" fillId="16" borderId="1" xfId="0" applyFont="1" applyFill="1" applyBorder="1" applyAlignment="1">
      <alignment vertical="center"/>
    </xf>
    <xf numFmtId="0" fontId="2" fillId="16" borderId="1" xfId="0" applyFont="1" applyFill="1" applyBorder="1" applyAlignment="1">
      <alignment horizontal="center" vertical="center"/>
    </xf>
    <xf numFmtId="0" fontId="2" fillId="16" borderId="1" xfId="0" applyFont="1" applyFill="1" applyBorder="1" applyAlignment="1">
      <alignment vertical="center" wrapText="1"/>
    </xf>
    <xf numFmtId="0" fontId="17" fillId="16" borderId="1" xfId="0" applyFont="1" applyFill="1" applyBorder="1" applyAlignment="1">
      <alignment vertical="center"/>
    </xf>
    <xf numFmtId="0" fontId="13" fillId="8" borderId="1" xfId="0" applyFont="1" applyFill="1" applyBorder="1" applyAlignment="1">
      <alignment horizontal="left" vertical="center" wrapText="1"/>
    </xf>
    <xf numFmtId="0" fontId="23" fillId="0" borderId="2" xfId="0" applyFont="1" applyBorder="1" applyAlignment="1">
      <alignment horizontal="center" vertical="center" wrapText="1"/>
    </xf>
    <xf numFmtId="0" fontId="0" fillId="0" borderId="1" xfId="0" applyBorder="1" applyAlignment="1">
      <alignment horizontal="center"/>
    </xf>
    <xf numFmtId="0" fontId="0" fillId="10" borderId="1" xfId="0" applyFill="1" applyBorder="1" applyAlignment="1">
      <alignment horizontal="center"/>
    </xf>
    <xf numFmtId="0" fontId="6" fillId="0" borderId="1" xfId="0" applyFont="1" applyBorder="1" applyAlignment="1">
      <alignment horizontal="center" wrapText="1"/>
    </xf>
    <xf numFmtId="1" fontId="0" fillId="0" borderId="1" xfId="0" applyNumberFormat="1" applyBorder="1" applyAlignment="1">
      <alignment horizontal="center"/>
    </xf>
    <xf numFmtId="0" fontId="2" fillId="15" borderId="1" xfId="0" applyFont="1" applyFill="1" applyBorder="1" applyAlignment="1">
      <alignment horizontal="center" vertical="center" wrapText="1"/>
    </xf>
    <xf numFmtId="166" fontId="8" fillId="0" borderId="0" xfId="0" applyNumberFormat="1" applyFont="1" applyAlignment="1">
      <alignment vertical="center"/>
    </xf>
    <xf numFmtId="0" fontId="8" fillId="0" borderId="1" xfId="0" applyFont="1" applyBorder="1" applyAlignment="1">
      <alignment horizontal="center" vertical="center" wrapText="1"/>
    </xf>
    <xf numFmtId="2" fontId="8" fillId="0" borderId="1" xfId="0" applyNumberFormat="1" applyFont="1" applyBorder="1" applyAlignment="1">
      <alignment vertical="center"/>
    </xf>
    <xf numFmtId="1" fontId="8" fillId="0" borderId="1" xfId="0" applyNumberFormat="1" applyFont="1" applyBorder="1" applyAlignment="1">
      <alignment vertical="center"/>
    </xf>
    <xf numFmtId="2" fontId="8" fillId="10" borderId="1" xfId="0" applyNumberFormat="1" applyFont="1" applyFill="1" applyBorder="1" applyAlignment="1">
      <alignment vertical="center"/>
    </xf>
    <xf numFmtId="0" fontId="23" fillId="0" borderId="1" xfId="0" applyFont="1" applyBorder="1" applyAlignment="1">
      <alignment horizontal="center" wrapText="1"/>
    </xf>
    <xf numFmtId="0" fontId="24" fillId="0" borderId="1" xfId="0" applyFont="1" applyBorder="1" applyAlignment="1">
      <alignment horizontal="center" wrapText="1"/>
    </xf>
    <xf numFmtId="0" fontId="23" fillId="0" borderId="1" xfId="0" applyFont="1" applyBorder="1" applyAlignment="1">
      <alignment horizontal="center"/>
    </xf>
    <xf numFmtId="2" fontId="24" fillId="0" borderId="1" xfId="0" applyNumberFormat="1" applyFont="1" applyBorder="1" applyAlignment="1">
      <alignment horizontal="center" wrapText="1"/>
    </xf>
    <xf numFmtId="2" fontId="23" fillId="0" borderId="1" xfId="0" applyNumberFormat="1" applyFont="1" applyBorder="1" applyAlignment="1">
      <alignment horizontal="center" wrapText="1"/>
    </xf>
    <xf numFmtId="0" fontId="20" fillId="0" borderId="1" xfId="0" applyFont="1" applyBorder="1" applyAlignment="1">
      <alignment horizontal="center"/>
    </xf>
    <xf numFmtId="0" fontId="8" fillId="0" borderId="1" xfId="0" applyFont="1" applyBorder="1" applyAlignment="1">
      <alignment horizontal="center"/>
    </xf>
    <xf numFmtId="0" fontId="8" fillId="10" borderId="1" xfId="0" applyFont="1" applyFill="1" applyBorder="1" applyAlignment="1">
      <alignment horizontal="center" vertical="center"/>
    </xf>
    <xf numFmtId="0" fontId="8"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15"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8" fillId="15" borderId="1" xfId="0" applyFont="1" applyFill="1" applyBorder="1" applyAlignment="1">
      <alignment horizontal="center" vertical="center" wrapText="1"/>
    </xf>
    <xf numFmtId="0" fontId="23" fillId="0" borderId="1" xfId="0" applyFont="1" applyBorder="1" applyAlignment="1">
      <alignment horizontal="center" vertical="top" wrapText="1"/>
    </xf>
    <xf numFmtId="2" fontId="3" fillId="10" borderId="1" xfId="0" applyNumberFormat="1" applyFont="1" applyFill="1" applyBorder="1" applyAlignment="1">
      <alignment horizontal="center" vertical="center"/>
    </xf>
    <xf numFmtId="2" fontId="3" fillId="16" borderId="1" xfId="0" applyNumberFormat="1" applyFont="1" applyFill="1" applyBorder="1" applyAlignment="1">
      <alignment horizontal="center" vertical="center"/>
    </xf>
    <xf numFmtId="2" fontId="3" fillId="15" borderId="1" xfId="0" applyNumberFormat="1" applyFont="1" applyFill="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Fill="1" applyBorder="1" applyAlignment="1">
      <alignment horizontal="center" vertical="center"/>
    </xf>
    <xf numFmtId="0" fontId="0" fillId="0" borderId="1" xfId="0" applyFill="1" applyBorder="1" applyAlignment="1">
      <alignment horizontal="center"/>
    </xf>
    <xf numFmtId="2" fontId="3" fillId="10" borderId="1" xfId="0" applyNumberFormat="1" applyFont="1" applyFill="1" applyBorder="1" applyAlignment="1">
      <alignment vertical="center"/>
    </xf>
    <xf numFmtId="0" fontId="0" fillId="0" borderId="1" xfId="0" applyBorder="1" applyAlignment="1">
      <alignment horizontal="center" vertical="center"/>
    </xf>
    <xf numFmtId="0" fontId="6" fillId="15" borderId="1" xfId="0" applyFont="1" applyFill="1" applyBorder="1" applyAlignment="1">
      <alignment wrapText="1"/>
    </xf>
    <xf numFmtId="166" fontId="34" fillId="15" borderId="1" xfId="3" applyNumberFormat="1" applyFont="1" applyFill="1" applyBorder="1"/>
    <xf numFmtId="0" fontId="0" fillId="15" borderId="0" xfId="0" applyFill="1"/>
    <xf numFmtId="0" fontId="36" fillId="0" borderId="1" xfId="0" applyFont="1" applyBorder="1" applyAlignment="1">
      <alignment horizontal="center" wrapText="1"/>
    </xf>
    <xf numFmtId="166" fontId="8" fillId="0" borderId="1" xfId="3" applyNumberFormat="1" applyFont="1" applyBorder="1" applyAlignment="1">
      <alignment horizontal="center"/>
    </xf>
    <xf numFmtId="165" fontId="36" fillId="10" borderId="1" xfId="0" applyNumberFormat="1" applyFont="1" applyFill="1" applyBorder="1" applyAlignment="1">
      <alignment horizontal="center" wrapText="1"/>
    </xf>
    <xf numFmtId="0" fontId="8" fillId="0" borderId="1" xfId="0" applyFont="1" applyFill="1" applyBorder="1" applyAlignment="1">
      <alignment horizontal="center"/>
    </xf>
    <xf numFmtId="4" fontId="8" fillId="0" borderId="1" xfId="3" applyNumberFormat="1" applyFont="1" applyBorder="1" applyAlignment="1">
      <alignment horizontal="center"/>
    </xf>
    <xf numFmtId="165" fontId="3" fillId="10" borderId="1" xfId="0" applyNumberFormat="1" applyFont="1" applyFill="1" applyBorder="1" applyAlignment="1">
      <alignment horizontal="center" vertical="center"/>
    </xf>
    <xf numFmtId="43" fontId="34" fillId="0" borderId="1" xfId="3" applyNumberFormat="1" applyFont="1" applyBorder="1" applyAlignment="1"/>
    <xf numFmtId="43" fontId="0" fillId="0" borderId="1" xfId="3" applyNumberFormat="1" applyFont="1" applyBorder="1"/>
    <xf numFmtId="0" fontId="40" fillId="10" borderId="1" xfId="0" applyFont="1" applyFill="1" applyBorder="1" applyAlignment="1">
      <alignment horizontal="center" vertical="center" wrapText="1"/>
    </xf>
    <xf numFmtId="166" fontId="2" fillId="10" borderId="1" xfId="0" applyNumberFormat="1" applyFont="1" applyFill="1" applyBorder="1" applyAlignment="1">
      <alignment vertical="center" wrapText="1"/>
    </xf>
    <xf numFmtId="0" fontId="3" fillId="15" borderId="1" xfId="0" applyFont="1" applyFill="1" applyBorder="1" applyAlignment="1">
      <alignment vertical="center"/>
    </xf>
    <xf numFmtId="0" fontId="14" fillId="0" borderId="3" xfId="0" applyFont="1" applyBorder="1" applyAlignment="1">
      <alignment horizontal="center" vertical="center" wrapText="1"/>
    </xf>
    <xf numFmtId="0" fontId="19" fillId="0" borderId="1" xfId="0" applyFont="1" applyFill="1" applyBorder="1" applyAlignment="1">
      <alignment horizontal="left" vertical="center" wrapText="1"/>
    </xf>
    <xf numFmtId="0" fontId="23" fillId="0" borderId="2" xfId="0" applyFont="1" applyBorder="1" applyAlignment="1">
      <alignment horizontal="center" wrapText="1"/>
    </xf>
    <xf numFmtId="1" fontId="8" fillId="0" borderId="1" xfId="0" applyNumberFormat="1" applyFont="1" applyBorder="1" applyAlignment="1">
      <alignment vertical="center" wrapText="1"/>
    </xf>
    <xf numFmtId="0" fontId="19" fillId="0" borderId="2" xfId="0" applyFont="1" applyBorder="1" applyAlignment="1"/>
    <xf numFmtId="0" fontId="19" fillId="15" borderId="2" xfId="0" applyFont="1" applyFill="1" applyBorder="1" applyAlignment="1">
      <alignment horizontal="left" vertical="center"/>
    </xf>
    <xf numFmtId="0" fontId="19" fillId="0" borderId="1" xfId="0" applyFont="1" applyBorder="1" applyAlignment="1">
      <alignment vertical="center" wrapText="1"/>
    </xf>
    <xf numFmtId="1" fontId="8" fillId="0" borderId="1" xfId="0" applyNumberFormat="1" applyFont="1" applyBorder="1" applyAlignment="1">
      <alignment horizontal="center" vertical="center"/>
    </xf>
    <xf numFmtId="0" fontId="8" fillId="11" borderId="6" xfId="0" applyFont="1" applyFill="1" applyBorder="1" applyAlignment="1">
      <alignment vertical="center" wrapText="1"/>
    </xf>
    <xf numFmtId="0" fontId="23" fillId="11" borderId="6" xfId="0" applyFont="1" applyFill="1" applyBorder="1" applyAlignment="1">
      <alignment vertical="center"/>
    </xf>
    <xf numFmtId="0" fontId="23" fillId="0" borderId="1" xfId="0" applyFont="1" applyBorder="1" applyAlignment="1">
      <alignment horizontal="center" vertical="center"/>
    </xf>
    <xf numFmtId="0" fontId="24" fillId="0" borderId="1" xfId="0" applyFont="1" applyBorder="1" applyAlignment="1">
      <alignment horizontal="left" vertical="center"/>
    </xf>
    <xf numFmtId="0" fontId="8" fillId="0" borderId="1" xfId="0" applyFont="1" applyBorder="1" applyAlignment="1">
      <alignment horizontal="right" vertical="center"/>
    </xf>
    <xf numFmtId="0" fontId="8" fillId="11" borderId="6" xfId="0" applyFont="1" applyFill="1" applyBorder="1" applyAlignment="1">
      <alignment vertical="center"/>
    </xf>
    <xf numFmtId="0" fontId="8" fillId="0" borderId="1" xfId="0" applyFont="1" applyBorder="1" applyAlignment="1">
      <alignment horizontal="left" vertical="center"/>
    </xf>
    <xf numFmtId="0" fontId="8" fillId="11" borderId="1" xfId="0" applyFont="1" applyFill="1" applyBorder="1" applyAlignment="1">
      <alignment vertical="center"/>
    </xf>
    <xf numFmtId="0" fontId="8" fillId="11" borderId="3" xfId="0" applyFont="1" applyFill="1" applyBorder="1" applyAlignment="1">
      <alignment vertical="center"/>
    </xf>
    <xf numFmtId="0" fontId="8" fillId="15" borderId="3" xfId="0" applyFont="1" applyFill="1" applyBorder="1" applyAlignment="1">
      <alignment vertical="center"/>
    </xf>
    <xf numFmtId="0" fontId="14" fillId="0" borderId="3" xfId="0" applyFont="1" applyBorder="1" applyAlignment="1">
      <alignment horizontal="center" vertical="center" wrapText="1"/>
    </xf>
    <xf numFmtId="0" fontId="17" fillId="7" borderId="1" xfId="0" applyFont="1" applyFill="1" applyBorder="1" applyAlignment="1">
      <alignment horizontal="center" vertical="center"/>
    </xf>
    <xf numFmtId="0" fontId="33" fillId="7" borderId="10" xfId="0" applyFont="1" applyFill="1" applyBorder="1" applyAlignment="1">
      <alignment horizontal="center" vertical="center" wrapText="1"/>
    </xf>
    <xf numFmtId="0" fontId="33" fillId="7" borderId="2" xfId="0" applyFont="1" applyFill="1" applyBorder="1" applyAlignment="1">
      <alignment horizontal="center" vertical="center" wrapText="1"/>
    </xf>
    <xf numFmtId="166" fontId="8" fillId="15" borderId="1" xfId="6" applyNumberFormat="1" applyFont="1" applyFill="1" applyBorder="1" applyAlignment="1">
      <alignment vertical="center"/>
    </xf>
    <xf numFmtId="43" fontId="8" fillId="15" borderId="1" xfId="6" applyNumberFormat="1" applyFont="1" applyFill="1" applyBorder="1" applyAlignment="1">
      <alignment vertical="center"/>
    </xf>
    <xf numFmtId="166" fontId="4" fillId="15" borderId="1" xfId="2" applyNumberFormat="1" applyFont="1" applyFill="1" applyBorder="1" applyAlignment="1">
      <alignment vertical="center" wrapText="1"/>
    </xf>
    <xf numFmtId="166" fontId="3" fillId="15" borderId="1" xfId="6" applyNumberFormat="1" applyFont="1" applyFill="1" applyBorder="1" applyAlignment="1">
      <alignment vertical="center"/>
    </xf>
    <xf numFmtId="43" fontId="3" fillId="15" borderId="1" xfId="6" applyFont="1" applyFill="1" applyBorder="1" applyAlignment="1">
      <alignment horizontal="center" vertical="center"/>
    </xf>
    <xf numFmtId="43" fontId="13" fillId="15" borderId="1" xfId="6" applyFont="1" applyFill="1" applyBorder="1" applyAlignment="1">
      <alignment vertical="center" wrapText="1"/>
    </xf>
    <xf numFmtId="0" fontId="14" fillId="15" borderId="1" xfId="0" applyFont="1" applyFill="1" applyBorder="1" applyAlignment="1">
      <alignment horizontal="center" vertical="center" wrapText="1"/>
    </xf>
    <xf numFmtId="166" fontId="8" fillId="15" borderId="1" xfId="6" applyNumberFormat="1" applyFont="1" applyFill="1" applyBorder="1" applyAlignment="1">
      <alignment vertical="center" wrapText="1"/>
    </xf>
    <xf numFmtId="3" fontId="13" fillId="15" borderId="1" xfId="6" applyNumberFormat="1" applyFont="1" applyFill="1" applyBorder="1" applyAlignment="1">
      <alignment vertical="center" wrapText="1"/>
    </xf>
    <xf numFmtId="0" fontId="14" fillId="10" borderId="1" xfId="0" applyFont="1" applyFill="1" applyBorder="1" applyAlignment="1">
      <alignment horizontal="center" vertical="center" wrapText="1"/>
    </xf>
    <xf numFmtId="166" fontId="8" fillId="10" borderId="1" xfId="6" applyNumberFormat="1" applyFont="1" applyFill="1" applyBorder="1" applyAlignment="1">
      <alignment vertical="center" wrapText="1"/>
    </xf>
    <xf numFmtId="166" fontId="8" fillId="10" borderId="1" xfId="6" applyNumberFormat="1" applyFont="1" applyFill="1" applyBorder="1" applyAlignment="1">
      <alignment vertical="center"/>
    </xf>
    <xf numFmtId="167" fontId="20" fillId="0" borderId="1" xfId="0" applyNumberFormat="1" applyFont="1" applyBorder="1" applyAlignment="1">
      <alignment horizontal="center"/>
    </xf>
    <xf numFmtId="0" fontId="34" fillId="0" borderId="0" xfId="0" applyFont="1" applyAlignment="1">
      <alignment horizontal="center"/>
    </xf>
    <xf numFmtId="166" fontId="34" fillId="0" borderId="1" xfId="3" applyNumberFormat="1" applyFont="1" applyBorder="1" applyAlignment="1">
      <alignment horizontal="center"/>
    </xf>
    <xf numFmtId="2" fontId="34" fillId="0" borderId="1" xfId="3" applyNumberFormat="1" applyFont="1" applyBorder="1" applyAlignment="1">
      <alignment horizontal="center"/>
    </xf>
    <xf numFmtId="2" fontId="6" fillId="0" borderId="1" xfId="0" applyNumberFormat="1" applyFont="1" applyBorder="1" applyAlignment="1">
      <alignment horizontal="center" wrapText="1"/>
    </xf>
    <xf numFmtId="2" fontId="34" fillId="10" borderId="1" xfId="3" applyNumberFormat="1" applyFont="1" applyFill="1" applyBorder="1" applyAlignment="1">
      <alignment horizontal="center"/>
    </xf>
    <xf numFmtId="1" fontId="34" fillId="0" borderId="1" xfId="3" applyNumberFormat="1" applyFont="1" applyBorder="1" applyAlignment="1">
      <alignment horizontal="center"/>
    </xf>
    <xf numFmtId="1" fontId="0" fillId="15" borderId="1" xfId="0" applyNumberFormat="1" applyFill="1" applyBorder="1" applyAlignment="1">
      <alignment horizontal="center"/>
    </xf>
    <xf numFmtId="1" fontId="34" fillId="15" borderId="1" xfId="3" applyNumberFormat="1" applyFont="1" applyFill="1" applyBorder="1" applyAlignment="1">
      <alignment horizontal="center"/>
    </xf>
    <xf numFmtId="166" fontId="3" fillId="10" borderId="1" xfId="0" applyNumberFormat="1" applyFont="1" applyFill="1" applyBorder="1" applyAlignment="1">
      <alignment vertical="center"/>
    </xf>
    <xf numFmtId="1" fontId="34" fillId="0" borderId="0" xfId="0" applyNumberFormat="1" applyFont="1"/>
    <xf numFmtId="1" fontId="3" fillId="10" borderId="1" xfId="0" applyNumberFormat="1" applyFont="1" applyFill="1" applyBorder="1" applyAlignment="1">
      <alignment vertical="center"/>
    </xf>
    <xf numFmtId="1" fontId="3" fillId="10" borderId="1" xfId="0" applyNumberFormat="1" applyFont="1" applyFill="1" applyBorder="1" applyAlignment="1">
      <alignment horizontal="center" vertical="center"/>
    </xf>
    <xf numFmtId="166" fontId="34" fillId="10" borderId="1" xfId="3" applyNumberFormat="1" applyFont="1" applyFill="1" applyBorder="1"/>
    <xf numFmtId="43" fontId="34" fillId="0" borderId="1" xfId="0" applyNumberFormat="1" applyFont="1" applyBorder="1"/>
    <xf numFmtId="1" fontId="34" fillId="0" borderId="0" xfId="0" applyNumberFormat="1" applyFont="1" applyAlignment="1">
      <alignment horizontal="center"/>
    </xf>
    <xf numFmtId="1" fontId="34" fillId="10" borderId="1" xfId="3" applyNumberFormat="1" applyFont="1" applyFill="1" applyBorder="1" applyAlignment="1">
      <alignment horizontal="center"/>
    </xf>
    <xf numFmtId="0" fontId="0" fillId="0" borderId="1" xfId="0" applyBorder="1" applyAlignment="1">
      <alignment horizontal="center" vertical="center" wrapText="1"/>
    </xf>
    <xf numFmtId="0" fontId="39" fillId="10" borderId="1" xfId="0" applyFont="1" applyFill="1" applyBorder="1" applyAlignment="1">
      <alignment horizontal="center" vertical="center" wrapText="1"/>
    </xf>
    <xf numFmtId="165" fontId="6" fillId="15" borderId="1" xfId="0" applyNumberFormat="1" applyFont="1" applyFill="1" applyBorder="1" applyAlignment="1">
      <alignment wrapText="1"/>
    </xf>
    <xf numFmtId="0" fontId="0" fillId="0" borderId="1" xfId="0" applyFont="1" applyBorder="1" applyAlignment="1">
      <alignment horizontal="center" wrapText="1"/>
    </xf>
    <xf numFmtId="0" fontId="2" fillId="10" borderId="1" xfId="0" applyFont="1" applyFill="1" applyBorder="1" applyAlignment="1">
      <alignment horizontal="center" vertical="center" wrapText="1"/>
    </xf>
    <xf numFmtId="0" fontId="41" fillId="0" borderId="16" xfId="0" applyFont="1" applyBorder="1" applyAlignment="1">
      <alignment horizontal="center" wrapText="1"/>
    </xf>
    <xf numFmtId="0" fontId="41" fillId="0" borderId="16" xfId="0" applyFont="1" applyBorder="1" applyAlignment="1">
      <alignment horizontal="center"/>
    </xf>
    <xf numFmtId="0" fontId="14" fillId="0" borderId="16" xfId="0" applyFont="1" applyBorder="1" applyAlignment="1">
      <alignment horizontal="center"/>
    </xf>
    <xf numFmtId="2" fontId="23" fillId="15" borderId="1" xfId="0" applyNumberFormat="1" applyFont="1" applyFill="1" applyBorder="1" applyAlignment="1">
      <alignment horizontal="center" wrapText="1"/>
    </xf>
    <xf numFmtId="0" fontId="23" fillId="15" borderId="1" xfId="0" applyFont="1" applyFill="1" applyBorder="1" applyAlignment="1">
      <alignment horizontal="center" wrapText="1"/>
    </xf>
    <xf numFmtId="0" fontId="23" fillId="15" borderId="1" xfId="0" applyFont="1" applyFill="1" applyBorder="1" applyAlignment="1">
      <alignment wrapText="1"/>
    </xf>
    <xf numFmtId="0" fontId="23" fillId="15" borderId="1" xfId="0" applyFont="1" applyFill="1" applyBorder="1"/>
    <xf numFmtId="0" fontId="20" fillId="15" borderId="1" xfId="0" applyFont="1" applyFill="1" applyBorder="1" applyAlignment="1">
      <alignment vertical="center"/>
    </xf>
    <xf numFmtId="0" fontId="20" fillId="15" borderId="1" xfId="0" applyFont="1" applyFill="1" applyBorder="1" applyAlignment="1">
      <alignment horizontal="center"/>
    </xf>
    <xf numFmtId="2" fontId="0" fillId="0" borderId="1" xfId="0" applyNumberFormat="1" applyBorder="1" applyAlignment="1">
      <alignment horizontal="center"/>
    </xf>
    <xf numFmtId="0" fontId="8" fillId="15" borderId="1" xfId="0" applyFont="1" applyFill="1" applyBorder="1" applyAlignment="1">
      <alignment vertical="center"/>
    </xf>
    <xf numFmtId="2" fontId="8" fillId="15" borderId="1" xfId="0" applyNumberFormat="1" applyFont="1" applyFill="1" applyBorder="1" applyAlignment="1">
      <alignment horizontal="center" vertical="center"/>
    </xf>
    <xf numFmtId="0" fontId="0" fillId="15" borderId="1" xfId="0" applyFont="1" applyFill="1" applyBorder="1" applyAlignment="1">
      <alignment vertical="center"/>
    </xf>
    <xf numFmtId="2" fontId="0" fillId="15" borderId="1" xfId="0" applyNumberFormat="1" applyFont="1" applyFill="1" applyBorder="1" applyAlignment="1">
      <alignment horizontal="center" vertical="center"/>
    </xf>
    <xf numFmtId="2" fontId="2" fillId="15" borderId="1" xfId="0" applyNumberFormat="1" applyFont="1" applyFill="1" applyBorder="1" applyAlignment="1">
      <alignment horizontal="center" vertical="center"/>
    </xf>
    <xf numFmtId="0" fontId="0" fillId="0" borderId="0" xfId="0" applyFont="1" applyBorder="1" applyAlignment="1">
      <alignment wrapText="1"/>
    </xf>
    <xf numFmtId="0" fontId="0" fillId="0" borderId="0" xfId="0" applyBorder="1"/>
    <xf numFmtId="2" fontId="41" fillId="0" borderId="16" xfId="0" applyNumberFormat="1" applyFont="1" applyBorder="1" applyAlignment="1">
      <alignment horizontal="center" wrapText="1"/>
    </xf>
    <xf numFmtId="2" fontId="41" fillId="0" borderId="16" xfId="0" applyNumberFormat="1" applyFont="1" applyBorder="1" applyAlignment="1">
      <alignment horizontal="center"/>
    </xf>
    <xf numFmtId="2" fontId="14" fillId="0" borderId="16" xfId="0" applyNumberFormat="1" applyFont="1" applyBorder="1" applyAlignment="1">
      <alignment horizontal="center"/>
    </xf>
    <xf numFmtId="0" fontId="8" fillId="0" borderId="1" xfId="0" applyFont="1" applyBorder="1" applyAlignment="1">
      <alignment horizontal="center" vertical="center"/>
    </xf>
    <xf numFmtId="0" fontId="0" fillId="0" borderId="1" xfId="0" applyFont="1" applyBorder="1" applyAlignment="1">
      <alignment horizontal="center"/>
    </xf>
    <xf numFmtId="0" fontId="2" fillId="16" borderId="6" xfId="0" applyFont="1" applyFill="1" applyBorder="1" applyAlignment="1">
      <alignment vertical="center"/>
    </xf>
    <xf numFmtId="0" fontId="0" fillId="0" borderId="0" xfId="0" applyFont="1" applyBorder="1"/>
    <xf numFmtId="1" fontId="0" fillId="0" borderId="0" xfId="0" applyNumberFormat="1" applyFont="1" applyBorder="1"/>
    <xf numFmtId="2" fontId="0" fillId="0" borderId="0" xfId="0" applyNumberFormat="1" applyFont="1" applyBorder="1"/>
    <xf numFmtId="2" fontId="0" fillId="0" borderId="1" xfId="0" applyNumberFormat="1" applyFont="1" applyBorder="1" applyAlignment="1">
      <alignment horizontal="center"/>
    </xf>
    <xf numFmtId="0" fontId="8" fillId="0" borderId="0" xfId="0" applyFont="1" applyBorder="1" applyAlignment="1">
      <alignment vertical="center"/>
    </xf>
    <xf numFmtId="0" fontId="8" fillId="0" borderId="0" xfId="0" applyFont="1" applyBorder="1" applyAlignment="1">
      <alignment horizontal="center" vertical="center"/>
    </xf>
    <xf numFmtId="0" fontId="3" fillId="15" borderId="0" xfId="0" applyFont="1" applyFill="1" applyBorder="1" applyAlignment="1">
      <alignment horizontal="center" vertical="center"/>
    </xf>
    <xf numFmtId="2" fontId="20" fillId="0" borderId="1" xfId="0" applyNumberFormat="1" applyFont="1" applyBorder="1" applyAlignment="1">
      <alignment horizontal="center"/>
    </xf>
    <xf numFmtId="0" fontId="8" fillId="0" borderId="1" xfId="0" applyFont="1" applyBorder="1" applyAlignment="1">
      <alignment horizontal="center" vertical="center"/>
    </xf>
    <xf numFmtId="0" fontId="2" fillId="16" borderId="6" xfId="0" applyFont="1" applyFill="1" applyBorder="1" applyAlignment="1">
      <alignment vertical="center" wrapText="1"/>
    </xf>
    <xf numFmtId="1" fontId="0" fillId="0" borderId="0" xfId="0" applyNumberFormat="1" applyFont="1" applyBorder="1" applyAlignment="1">
      <alignment wrapText="1"/>
    </xf>
    <xf numFmtId="0" fontId="42" fillId="0" borderId="1" xfId="0" applyFont="1" applyBorder="1" applyAlignment="1">
      <alignment horizontal="center"/>
    </xf>
    <xf numFmtId="0" fontId="42" fillId="0" borderId="1" xfId="0" applyFont="1" applyBorder="1"/>
    <xf numFmtId="0" fontId="43" fillId="0" borderId="1" xfId="0" applyFont="1" applyBorder="1" applyAlignment="1">
      <alignment wrapText="1"/>
    </xf>
    <xf numFmtId="0" fontId="42" fillId="0" borderId="1" xfId="0" applyFont="1" applyBorder="1" applyAlignment="1">
      <alignment wrapText="1"/>
    </xf>
    <xf numFmtId="0" fontId="44" fillId="0" borderId="1" xfId="0" applyFont="1" applyBorder="1" applyAlignment="1">
      <alignment wrapText="1"/>
    </xf>
    <xf numFmtId="0" fontId="45" fillId="0" borderId="1" xfId="0" applyFont="1" applyBorder="1" applyAlignment="1">
      <alignment horizontal="center"/>
    </xf>
    <xf numFmtId="0" fontId="44" fillId="0" borderId="1" xfId="0" applyFont="1" applyBorder="1" applyAlignment="1">
      <alignment horizontal="right"/>
    </xf>
    <xf numFmtId="0" fontId="46" fillId="0" borderId="1" xfId="0" applyFont="1" applyBorder="1" applyAlignment="1">
      <alignment horizontal="right"/>
    </xf>
    <xf numFmtId="0" fontId="41" fillId="0" borderId="18" xfId="0" applyFont="1" applyBorder="1" applyAlignment="1">
      <alignment horizontal="center" wrapText="1"/>
    </xf>
    <xf numFmtId="2" fontId="8" fillId="10" borderId="1" xfId="0" applyNumberFormat="1" applyFont="1" applyFill="1" applyBorder="1" applyAlignment="1">
      <alignment horizontal="center" vertical="center"/>
    </xf>
    <xf numFmtId="0" fontId="0" fillId="15" borderId="1" xfId="0" applyFont="1" applyFill="1" applyBorder="1"/>
    <xf numFmtId="0" fontId="2" fillId="15" borderId="1" xfId="0" applyFont="1" applyFill="1" applyBorder="1" applyAlignment="1">
      <alignment vertical="center"/>
    </xf>
    <xf numFmtId="166" fontId="8" fillId="15" borderId="1" xfId="0" applyNumberFormat="1" applyFont="1" applyFill="1" applyBorder="1" applyAlignment="1">
      <alignment horizontal="center" vertical="center"/>
    </xf>
    <xf numFmtId="43" fontId="3" fillId="15" borderId="1" xfId="0" applyNumberFormat="1" applyFont="1" applyFill="1" applyBorder="1" applyAlignment="1">
      <alignment horizontal="center" vertical="center"/>
    </xf>
    <xf numFmtId="166" fontId="34" fillId="0" borderId="1" xfId="3"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0" xfId="0" applyFill="1" applyBorder="1"/>
    <xf numFmtId="167" fontId="41" fillId="0" borderId="18" xfId="0" applyNumberFormat="1" applyFont="1" applyBorder="1" applyAlignment="1">
      <alignment horizontal="center" wrapText="1"/>
    </xf>
    <xf numFmtId="2" fontId="0" fillId="0" borderId="0" xfId="0" applyNumberFormat="1" applyFont="1" applyBorder="1" applyAlignment="1">
      <alignment wrapText="1"/>
    </xf>
    <xf numFmtId="0" fontId="41" fillId="0" borderId="1" xfId="0" applyFont="1" applyBorder="1" applyAlignment="1">
      <alignment horizontal="center"/>
    </xf>
    <xf numFmtId="43" fontId="14" fillId="10" borderId="1" xfId="0" applyNumberFormat="1" applyFont="1" applyFill="1" applyBorder="1" applyAlignment="1">
      <alignment horizontal="center" vertical="center" wrapText="1"/>
    </xf>
    <xf numFmtId="1" fontId="23" fillId="0" borderId="1" xfId="0" applyNumberFormat="1" applyFont="1" applyBorder="1" applyAlignment="1">
      <alignment horizontal="center" wrapText="1"/>
    </xf>
    <xf numFmtId="0" fontId="12" fillId="6" borderId="1" xfId="0" applyFont="1" applyFill="1" applyBorder="1" applyAlignment="1">
      <alignment horizontal="center" vertical="center" wrapText="1"/>
    </xf>
    <xf numFmtId="0" fontId="23" fillId="0" borderId="15" xfId="0" applyFont="1" applyBorder="1" applyAlignment="1">
      <alignment horizontal="center" vertical="top"/>
    </xf>
    <xf numFmtId="0" fontId="3" fillId="9" borderId="1" xfId="0" applyFont="1" applyFill="1" applyBorder="1" applyAlignment="1">
      <alignment horizontal="center" vertical="center"/>
    </xf>
    <xf numFmtId="0" fontId="17" fillId="12"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17" fillId="7" borderId="4"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8" fillId="8" borderId="1" xfId="0" applyFont="1" applyFill="1" applyBorder="1" applyAlignment="1">
      <alignment horizontal="left" vertical="center"/>
    </xf>
    <xf numFmtId="168" fontId="6" fillId="10" borderId="1" xfId="0" applyNumberFormat="1" applyFont="1" applyFill="1" applyBorder="1" applyAlignment="1">
      <alignment horizontal="center" wrapText="1"/>
    </xf>
    <xf numFmtId="168" fontId="2" fillId="10" borderId="1" xfId="0" applyNumberFormat="1" applyFont="1" applyFill="1" applyBorder="1" applyAlignment="1">
      <alignment horizontal="center" vertical="center"/>
    </xf>
    <xf numFmtId="165" fontId="6" fillId="10" borderId="1" xfId="0" applyNumberFormat="1" applyFont="1" applyFill="1" applyBorder="1" applyAlignment="1">
      <alignment horizontal="center" wrapText="1"/>
    </xf>
    <xf numFmtId="0" fontId="2" fillId="15" borderId="1" xfId="0" applyFont="1" applyFill="1" applyBorder="1" applyAlignment="1">
      <alignment horizontal="center" wrapText="1"/>
    </xf>
    <xf numFmtId="2" fontId="2" fillId="15" borderId="1" xfId="0" applyNumberFormat="1" applyFont="1" applyFill="1" applyBorder="1" applyAlignment="1">
      <alignment horizontal="center" wrapText="1"/>
    </xf>
    <xf numFmtId="0" fontId="46" fillId="15" borderId="16" xfId="0" applyFont="1" applyFill="1" applyBorder="1"/>
    <xf numFmtId="0" fontId="41" fillId="15" borderId="16" xfId="0" applyFont="1" applyFill="1" applyBorder="1" applyAlignment="1">
      <alignment horizontal="center"/>
    </xf>
    <xf numFmtId="0" fontId="42" fillId="15" borderId="16" xfId="0" applyFont="1" applyFill="1" applyBorder="1" applyAlignment="1">
      <alignment horizontal="center"/>
    </xf>
    <xf numFmtId="0" fontId="46" fillId="15" borderId="21" xfId="0" applyFont="1" applyFill="1" applyBorder="1"/>
    <xf numFmtId="0" fontId="2" fillId="15" borderId="2" xfId="0" applyFont="1" applyFill="1" applyBorder="1" applyAlignment="1">
      <alignment horizontal="center" wrapText="1"/>
    </xf>
    <xf numFmtId="0" fontId="41" fillId="15" borderId="21" xfId="0" applyFont="1" applyFill="1" applyBorder="1" applyAlignment="1">
      <alignment horizontal="center"/>
    </xf>
    <xf numFmtId="0" fontId="46" fillId="15" borderId="1" xfId="0" applyFont="1" applyFill="1" applyBorder="1"/>
    <xf numFmtId="0" fontId="41" fillId="15" borderId="17" xfId="0" applyFont="1" applyFill="1" applyBorder="1" applyAlignment="1">
      <alignment horizontal="center"/>
    </xf>
    <xf numFmtId="0" fontId="2" fillId="15" borderId="1" xfId="0" applyFont="1" applyFill="1" applyBorder="1" applyAlignment="1">
      <alignment horizontal="center" vertical="center"/>
    </xf>
    <xf numFmtId="0" fontId="0" fillId="15" borderId="1" xfId="0" applyFont="1" applyFill="1" applyBorder="1" applyAlignment="1">
      <alignment horizontal="center"/>
    </xf>
    <xf numFmtId="0" fontId="41" fillId="15" borderId="22" xfId="0" applyFont="1" applyFill="1" applyBorder="1" applyAlignment="1">
      <alignment horizontal="center" wrapText="1"/>
    </xf>
    <xf numFmtId="0" fontId="2" fillId="15" borderId="7" xfId="0" applyFont="1" applyFill="1" applyBorder="1" applyAlignment="1">
      <alignment vertical="center"/>
    </xf>
    <xf numFmtId="0" fontId="42" fillId="0" borderId="1" xfId="0" applyFont="1" applyBorder="1" applyAlignment="1">
      <alignment horizontal="center"/>
    </xf>
    <xf numFmtId="0" fontId="46" fillId="0" borderId="1" xfId="0" applyFont="1" applyBorder="1" applyAlignment="1">
      <alignment wrapText="1"/>
    </xf>
    <xf numFmtId="0" fontId="42" fillId="0" borderId="1" xfId="0" applyFont="1" applyFill="1" applyBorder="1" applyAlignment="1">
      <alignment horizontal="center"/>
    </xf>
    <xf numFmtId="0" fontId="46" fillId="0" borderId="1" xfId="0" applyFont="1" applyBorder="1" applyAlignment="1">
      <alignment horizontal="center"/>
    </xf>
    <xf numFmtId="0" fontId="48" fillId="0" borderId="1" xfId="0" applyFont="1" applyBorder="1" applyAlignment="1">
      <alignment horizontal="center"/>
    </xf>
    <xf numFmtId="0" fontId="2" fillId="0" borderId="1" xfId="0" applyFont="1" applyBorder="1" applyAlignment="1">
      <alignment horizontal="center"/>
    </xf>
    <xf numFmtId="0" fontId="2" fillId="0" borderId="1" xfId="0" applyFont="1" applyBorder="1"/>
    <xf numFmtId="0" fontId="49" fillId="0" borderId="1" xfId="0" applyFont="1" applyBorder="1" applyAlignment="1">
      <alignment horizontal="center"/>
    </xf>
    <xf numFmtId="0" fontId="9" fillId="0" borderId="1" xfId="0" applyFont="1" applyFill="1" applyBorder="1" applyAlignment="1">
      <alignment horizontal="center" vertical="top"/>
    </xf>
    <xf numFmtId="0" fontId="9" fillId="0" borderId="5" xfId="0" applyFont="1" applyFill="1" applyBorder="1" applyAlignment="1">
      <alignment horizontal="center" vertical="top"/>
    </xf>
    <xf numFmtId="0" fontId="9" fillId="4" borderId="1" xfId="0" applyFont="1" applyFill="1" applyBorder="1" applyAlignment="1">
      <alignment horizontal="center" vertical="top" wrapText="1"/>
    </xf>
    <xf numFmtId="0" fontId="12" fillId="7" borderId="2" xfId="0" applyFont="1" applyFill="1" applyBorder="1" applyAlignment="1">
      <alignment horizontal="center" vertical="center"/>
    </xf>
    <xf numFmtId="0" fontId="12" fillId="7" borderId="3" xfId="0" applyFont="1" applyFill="1" applyBorder="1" applyAlignment="1">
      <alignment horizontal="center" vertical="center"/>
    </xf>
    <xf numFmtId="0" fontId="12" fillId="7" borderId="1" xfId="0" applyFont="1" applyFill="1" applyBorder="1" applyAlignment="1">
      <alignment horizontal="center" vertical="center"/>
    </xf>
    <xf numFmtId="0" fontId="12" fillId="7" borderId="1" xfId="0" applyFont="1" applyFill="1" applyBorder="1" applyAlignment="1">
      <alignment horizontal="center" vertical="center" wrapText="1"/>
    </xf>
    <xf numFmtId="0" fontId="3" fillId="9" borderId="1" xfId="0" applyFont="1" applyFill="1" applyBorder="1" applyAlignment="1">
      <alignment horizontal="left" vertical="center"/>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3" fillId="3" borderId="1" xfId="0" applyFont="1" applyFill="1" applyBorder="1" applyAlignment="1">
      <alignment horizontal="left" vertical="center"/>
    </xf>
    <xf numFmtId="0" fontId="13" fillId="8"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166" fontId="4" fillId="0" borderId="2" xfId="2" applyNumberFormat="1" applyFont="1" applyFill="1" applyBorder="1" applyAlignment="1">
      <alignment horizontal="center" vertical="center" wrapText="1"/>
    </xf>
    <xf numFmtId="166" fontId="4" fillId="0" borderId="10" xfId="2" applyNumberFormat="1" applyFont="1" applyFill="1" applyBorder="1" applyAlignment="1">
      <alignment horizontal="center" vertical="center" wrapText="1"/>
    </xf>
    <xf numFmtId="166" fontId="4" fillId="0" borderId="3" xfId="2" applyNumberFormat="1" applyFont="1" applyFill="1" applyBorder="1" applyAlignment="1">
      <alignment horizontal="center" vertical="center" wrapText="1"/>
    </xf>
    <xf numFmtId="0" fontId="12" fillId="7" borderId="6"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7" xfId="0" applyFont="1" applyFill="1" applyBorder="1" applyAlignment="1">
      <alignment horizontal="center" vertical="center"/>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8" fillId="10" borderId="7" xfId="0" applyFont="1" applyFill="1" applyBorder="1" applyAlignment="1">
      <alignment horizontal="center" vertical="center" wrapText="1"/>
    </xf>
    <xf numFmtId="0" fontId="3" fillId="9" borderId="1" xfId="0" applyFont="1" applyFill="1" applyBorder="1" applyAlignment="1">
      <alignment horizontal="center" vertical="center"/>
    </xf>
    <xf numFmtId="0" fontId="38" fillId="0" borderId="5" xfId="0" applyFont="1" applyFill="1" applyBorder="1" applyAlignment="1">
      <alignment horizontal="left"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2" xfId="0" applyNumberFormat="1" applyFont="1" applyFill="1" applyBorder="1" applyAlignment="1">
      <alignment horizontal="center" vertical="top" wrapText="1"/>
    </xf>
    <xf numFmtId="0" fontId="10" fillId="0" borderId="3" xfId="0" applyNumberFormat="1" applyFont="1" applyFill="1" applyBorder="1" applyAlignment="1">
      <alignment horizontal="center" vertical="top" wrapText="1"/>
    </xf>
    <xf numFmtId="0" fontId="10" fillId="0" borderId="2" xfId="0" applyNumberFormat="1" applyFont="1" applyFill="1" applyBorder="1" applyAlignment="1">
      <alignment horizontal="left" vertical="top" wrapText="1"/>
    </xf>
    <xf numFmtId="0" fontId="10" fillId="0" borderId="3" xfId="0" applyNumberFormat="1" applyFont="1" applyFill="1" applyBorder="1" applyAlignment="1">
      <alignment horizontal="left" vertical="top" wrapText="1"/>
    </xf>
    <xf numFmtId="0" fontId="17" fillId="12" borderId="1" xfId="0" applyFont="1" applyFill="1" applyBorder="1" applyAlignment="1">
      <alignment horizontal="center" vertical="center" wrapText="1"/>
    </xf>
    <xf numFmtId="0" fontId="23" fillId="0" borderId="1" xfId="0" applyFont="1" applyBorder="1" applyAlignment="1">
      <alignment horizontal="left" vertical="top" wrapText="1"/>
    </xf>
    <xf numFmtId="0" fontId="23" fillId="0" borderId="2" xfId="0" applyFont="1" applyBorder="1" applyAlignment="1">
      <alignment horizontal="left" vertical="top" wrapText="1"/>
    </xf>
    <xf numFmtId="0" fontId="23" fillId="0" borderId="10" xfId="0" applyFont="1" applyBorder="1" applyAlignment="1">
      <alignment horizontal="left" vertical="top" wrapText="1"/>
    </xf>
    <xf numFmtId="0" fontId="23" fillId="0" borderId="3" xfId="0" applyFont="1" applyBorder="1" applyAlignment="1">
      <alignment horizontal="left" vertical="top" wrapText="1"/>
    </xf>
    <xf numFmtId="0" fontId="17" fillId="7" borderId="2" xfId="0" applyFont="1" applyFill="1" applyBorder="1" applyAlignment="1">
      <alignment horizontal="center" vertical="top" wrapText="1"/>
    </xf>
    <xf numFmtId="0" fontId="17" fillId="7" borderId="10" xfId="0" applyFont="1" applyFill="1" applyBorder="1" applyAlignment="1">
      <alignment horizontal="center" vertical="top" wrapText="1"/>
    </xf>
    <xf numFmtId="0" fontId="17" fillId="7" borderId="3" xfId="0" applyFont="1" applyFill="1" applyBorder="1" applyAlignment="1">
      <alignment horizontal="center" vertical="top" wrapText="1"/>
    </xf>
    <xf numFmtId="0" fontId="17" fillId="6" borderId="1" xfId="0" applyFont="1" applyFill="1" applyBorder="1" applyAlignment="1">
      <alignment horizontal="center" vertical="top" wrapText="1"/>
    </xf>
    <xf numFmtId="0" fontId="12" fillId="6" borderId="9"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7" borderId="8" xfId="0" applyFont="1" applyFill="1" applyBorder="1" applyAlignment="1">
      <alignment horizontal="center" vertical="top" wrapText="1"/>
    </xf>
    <xf numFmtId="0" fontId="17" fillId="7" borderId="9" xfId="0" applyFont="1" applyFill="1" applyBorder="1" applyAlignment="1">
      <alignment horizontal="center" vertical="top" wrapText="1"/>
    </xf>
    <xf numFmtId="0" fontId="17" fillId="7" borderId="4" xfId="0" applyFont="1" applyFill="1" applyBorder="1" applyAlignment="1">
      <alignment horizontal="center" vertical="top" wrapText="1"/>
    </xf>
    <xf numFmtId="0" fontId="17" fillId="7" borderId="7" xfId="0" applyFont="1" applyFill="1" applyBorder="1" applyAlignment="1">
      <alignment horizontal="center" vertical="top" wrapText="1"/>
    </xf>
    <xf numFmtId="0" fontId="17" fillId="7" borderId="6" xfId="0" applyFont="1" applyFill="1" applyBorder="1" applyAlignment="1">
      <alignment horizontal="center" vertical="top" wrapText="1"/>
    </xf>
    <xf numFmtId="0" fontId="17" fillId="12" borderId="1" xfId="0" applyFont="1" applyFill="1" applyBorder="1" applyAlignment="1">
      <alignment horizontal="center" vertical="top"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horizontal="left" vertical="center"/>
    </xf>
    <xf numFmtId="0" fontId="20" fillId="0" borderId="10" xfId="0" applyFont="1" applyBorder="1" applyAlignment="1">
      <alignment horizontal="left" vertical="center"/>
    </xf>
    <xf numFmtId="0" fontId="20" fillId="0" borderId="3" xfId="0" applyFont="1" applyBorder="1" applyAlignment="1">
      <alignment horizontal="left" vertical="center"/>
    </xf>
    <xf numFmtId="0" fontId="23" fillId="0" borderId="2" xfId="0" applyFont="1" applyBorder="1" applyAlignment="1">
      <alignment horizontal="center" vertical="top" wrapText="1"/>
    </xf>
    <xf numFmtId="0" fontId="23" fillId="0" borderId="10" xfId="0" applyFont="1" applyBorder="1" applyAlignment="1">
      <alignment horizontal="center" vertical="top" wrapText="1"/>
    </xf>
    <xf numFmtId="0" fontId="23" fillId="0" borderId="3" xfId="0" applyFont="1" applyBorder="1" applyAlignment="1">
      <alignment horizontal="center" vertical="top" wrapText="1"/>
    </xf>
    <xf numFmtId="0" fontId="20" fillId="0" borderId="2" xfId="0" applyFont="1" applyBorder="1" applyAlignment="1">
      <alignment horizontal="center" vertical="top"/>
    </xf>
    <xf numFmtId="0" fontId="20" fillId="0" borderId="10" xfId="0" applyFont="1" applyBorder="1" applyAlignment="1">
      <alignment horizontal="center" vertical="top"/>
    </xf>
    <xf numFmtId="0" fontId="20" fillId="0" borderId="3" xfId="0" applyFont="1" applyBorder="1" applyAlignment="1">
      <alignment horizontal="center" vertical="top"/>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23" fillId="0" borderId="13" xfId="0" applyFont="1" applyBorder="1" applyAlignment="1">
      <alignment horizontal="center" vertical="top"/>
    </xf>
    <xf numFmtId="0" fontId="23" fillId="0" borderId="14" xfId="0" applyFont="1" applyBorder="1" applyAlignment="1">
      <alignment horizontal="center" vertical="top"/>
    </xf>
    <xf numFmtId="0" fontId="23" fillId="0" borderId="15" xfId="0" applyFont="1" applyBorder="1" applyAlignment="1">
      <alignment horizontal="center" vertical="top"/>
    </xf>
    <xf numFmtId="0" fontId="17" fillId="7" borderId="1" xfId="0" applyFont="1" applyFill="1" applyBorder="1" applyAlignment="1">
      <alignment horizontal="center" vertical="center" wrapText="1"/>
    </xf>
    <xf numFmtId="0" fontId="3" fillId="10" borderId="4" xfId="0" applyFont="1" applyFill="1" applyBorder="1" applyAlignment="1">
      <alignment horizontal="center" vertical="center"/>
    </xf>
    <xf numFmtId="0" fontId="12" fillId="7" borderId="9" xfId="0" applyFont="1" applyFill="1" applyBorder="1" applyAlignment="1">
      <alignment horizontal="center" vertical="center"/>
    </xf>
    <xf numFmtId="0" fontId="12" fillId="7" borderId="5" xfId="0" applyFont="1" applyFill="1" applyBorder="1" applyAlignment="1">
      <alignment horizontal="center" vertical="center"/>
    </xf>
    <xf numFmtId="0" fontId="25" fillId="7" borderId="1" xfId="0" applyFont="1" applyFill="1" applyBorder="1" applyAlignment="1">
      <alignment horizontal="center" vertical="center" wrapText="1"/>
    </xf>
    <xf numFmtId="0" fontId="12" fillId="7" borderId="6" xfId="0" applyFont="1" applyFill="1" applyBorder="1" applyAlignment="1">
      <alignment horizontal="center"/>
    </xf>
    <xf numFmtId="0" fontId="12" fillId="7" borderId="4" xfId="0" applyFont="1" applyFill="1" applyBorder="1" applyAlignment="1">
      <alignment horizontal="center"/>
    </xf>
    <xf numFmtId="0" fontId="12" fillId="7" borderId="7" xfId="0" applyFont="1" applyFill="1" applyBorder="1" applyAlignment="1">
      <alignment horizontal="center"/>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8" fillId="0" borderId="3" xfId="0" applyFont="1" applyBorder="1" applyAlignment="1">
      <alignment horizontal="center" vertical="center"/>
    </xf>
    <xf numFmtId="0" fontId="0" fillId="0" borderId="2" xfId="0" applyBorder="1" applyAlignment="1">
      <alignment horizontal="center" vertical="top" wrapText="1"/>
    </xf>
    <xf numFmtId="0" fontId="0" fillId="0" borderId="10" xfId="0" applyBorder="1" applyAlignment="1">
      <alignment horizontal="center" vertical="top" wrapText="1"/>
    </xf>
    <xf numFmtId="0" fontId="0" fillId="0" borderId="3" xfId="0" applyBorder="1" applyAlignment="1">
      <alignment horizontal="center" vertical="top" wrapText="1"/>
    </xf>
    <xf numFmtId="0" fontId="28" fillId="7" borderId="1" xfId="0" applyFont="1" applyFill="1" applyBorder="1" applyAlignment="1">
      <alignment horizontal="center" vertical="center" wrapText="1"/>
    </xf>
    <xf numFmtId="0" fontId="17" fillId="7" borderId="6"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7" xfId="0" applyFont="1" applyFill="1" applyBorder="1" applyAlignment="1">
      <alignment horizontal="center" vertical="center"/>
    </xf>
    <xf numFmtId="0" fontId="25" fillId="7" borderId="2"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31" fillId="14" borderId="1" xfId="0" applyFont="1" applyFill="1" applyBorder="1" applyAlignment="1">
      <alignment horizontal="center" vertical="center" wrapText="1"/>
    </xf>
    <xf numFmtId="166" fontId="34" fillId="0" borderId="2" xfId="3" applyNumberFormat="1" applyFont="1" applyBorder="1" applyAlignment="1">
      <alignment horizontal="center" vertical="top" wrapText="1"/>
    </xf>
    <xf numFmtId="166" fontId="34" fillId="0" borderId="10" xfId="3" applyNumberFormat="1" applyFont="1" applyBorder="1" applyAlignment="1">
      <alignment horizontal="center" vertical="top" wrapText="1"/>
    </xf>
    <xf numFmtId="166" fontId="34" fillId="0" borderId="3" xfId="3" applyNumberFormat="1" applyFont="1" applyBorder="1" applyAlignment="1">
      <alignment horizontal="center" vertical="top" wrapText="1"/>
    </xf>
    <xf numFmtId="0" fontId="33" fillId="6" borderId="1" xfId="0" applyFont="1" applyFill="1" applyBorder="1" applyAlignment="1">
      <alignment horizontal="center" vertical="center" wrapText="1"/>
    </xf>
    <xf numFmtId="0" fontId="33" fillId="12" borderId="1" xfId="0" applyFont="1" applyFill="1" applyBorder="1" applyAlignment="1">
      <alignment horizontal="center" vertical="center" wrapText="1"/>
    </xf>
    <xf numFmtId="0" fontId="33" fillId="7" borderId="6" xfId="0" applyFont="1" applyFill="1" applyBorder="1" applyAlignment="1">
      <alignment horizontal="center" vertical="center" wrapText="1"/>
    </xf>
    <xf numFmtId="0" fontId="33" fillId="7" borderId="4" xfId="0" applyFont="1" applyFill="1" applyBorder="1" applyAlignment="1">
      <alignment horizontal="center" vertical="center" wrapText="1"/>
    </xf>
    <xf numFmtId="0" fontId="33" fillId="7" borderId="7" xfId="0" applyFont="1" applyFill="1" applyBorder="1" applyAlignment="1">
      <alignment horizontal="center" vertical="center" wrapText="1"/>
    </xf>
    <xf numFmtId="0" fontId="33" fillId="7" borderId="1" xfId="0" applyFont="1" applyFill="1" applyBorder="1" applyAlignment="1">
      <alignment horizontal="center" vertical="center"/>
    </xf>
    <xf numFmtId="165" fontId="36" fillId="0" borderId="2" xfId="0" applyNumberFormat="1" applyFont="1" applyBorder="1" applyAlignment="1">
      <alignment horizontal="center" vertical="center" wrapText="1"/>
    </xf>
    <xf numFmtId="165" fontId="36" fillId="0" borderId="10" xfId="0" applyNumberFormat="1" applyFont="1" applyBorder="1" applyAlignment="1">
      <alignment horizontal="center" vertical="center" wrapText="1"/>
    </xf>
    <xf numFmtId="165" fontId="36" fillId="0" borderId="3" xfId="0" applyNumberFormat="1" applyFont="1" applyBorder="1" applyAlignment="1">
      <alignment horizontal="center" vertical="center" wrapText="1"/>
    </xf>
    <xf numFmtId="0" fontId="12" fillId="7" borderId="10" xfId="0" applyFont="1" applyFill="1" applyBorder="1" applyAlignment="1">
      <alignment horizontal="center" vertical="center"/>
    </xf>
    <xf numFmtId="0" fontId="12" fillId="6" borderId="2"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3" xfId="0" applyFont="1" applyFill="1" applyBorder="1" applyAlignment="1">
      <alignment horizontal="center" vertical="center" wrapText="1"/>
    </xf>
    <xf numFmtId="165" fontId="6" fillId="0" borderId="1" xfId="0" applyNumberFormat="1" applyFont="1" applyBorder="1" applyAlignment="1">
      <alignment vertical="center" wrapText="1"/>
    </xf>
    <xf numFmtId="0" fontId="17" fillId="7" borderId="2" xfId="0" applyFont="1" applyFill="1" applyBorder="1" applyAlignment="1">
      <alignment horizontal="center" vertical="center"/>
    </xf>
    <xf numFmtId="0" fontId="17" fillId="7" borderId="10" xfId="0" applyFont="1" applyFill="1" applyBorder="1" applyAlignment="1">
      <alignment horizontal="center" vertical="center"/>
    </xf>
    <xf numFmtId="0" fontId="17" fillId="7" borderId="3" xfId="0" applyFont="1" applyFill="1" applyBorder="1" applyAlignment="1">
      <alignment horizontal="center" vertical="center"/>
    </xf>
    <xf numFmtId="0" fontId="17" fillId="7" borderId="1" xfId="0" applyFont="1" applyFill="1" applyBorder="1" applyAlignment="1">
      <alignment horizontal="center" vertical="center"/>
    </xf>
    <xf numFmtId="0" fontId="17" fillId="6" borderId="2"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2" fillId="0" borderId="12" xfId="0" applyFont="1" applyFill="1" applyBorder="1" applyAlignment="1">
      <alignment horizontal="center"/>
    </xf>
    <xf numFmtId="0" fontId="2" fillId="0" borderId="5" xfId="0" applyFont="1" applyFill="1" applyBorder="1" applyAlignment="1">
      <alignment horizontal="center"/>
    </xf>
    <xf numFmtId="0" fontId="17" fillId="7" borderId="10"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2" fillId="15" borderId="19" xfId="0" applyFont="1" applyFill="1" applyBorder="1" applyAlignment="1">
      <alignment horizontal="center" vertical="center" wrapText="1"/>
    </xf>
    <xf numFmtId="0" fontId="2" fillId="15" borderId="20" xfId="0" applyFont="1" applyFill="1" applyBorder="1" applyAlignment="1">
      <alignment horizontal="center" vertical="center" wrapText="1"/>
    </xf>
    <xf numFmtId="0" fontId="2" fillId="15" borderId="14" xfId="0" applyFont="1" applyFill="1" applyBorder="1" applyAlignment="1">
      <alignment horizontal="center" vertical="center" wrapText="1"/>
    </xf>
    <xf numFmtId="0" fontId="2" fillId="10" borderId="11" xfId="0" applyFont="1" applyFill="1" applyBorder="1" applyAlignment="1">
      <alignment horizontal="center"/>
    </xf>
    <xf numFmtId="0" fontId="2" fillId="10" borderId="0" xfId="0" applyFont="1" applyFill="1" applyBorder="1" applyAlignment="1">
      <alignment horizontal="center"/>
    </xf>
    <xf numFmtId="0" fontId="38" fillId="0" borderId="0" xfId="0" applyFont="1" applyFill="1" applyBorder="1" applyAlignment="1">
      <alignment horizontal="left" vertical="center" wrapText="1"/>
    </xf>
    <xf numFmtId="0" fontId="17" fillId="7" borderId="11" xfId="0" applyFont="1" applyFill="1" applyBorder="1" applyAlignment="1">
      <alignment horizontal="center" vertical="center"/>
    </xf>
    <xf numFmtId="0" fontId="17" fillId="7" borderId="12" xfId="0" applyFont="1" applyFill="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17" fillId="7" borderId="5" xfId="0" applyFont="1" applyFill="1" applyBorder="1" applyAlignment="1">
      <alignment horizontal="center" vertical="center"/>
    </xf>
    <xf numFmtId="0" fontId="2" fillId="10" borderId="5" xfId="0" applyFont="1" applyFill="1" applyBorder="1" applyAlignment="1">
      <alignment horizontal="center" vertical="center"/>
    </xf>
    <xf numFmtId="0" fontId="3" fillId="10" borderId="5" xfId="0" applyFont="1" applyFill="1" applyBorder="1" applyAlignment="1">
      <alignment horizontal="center" vertical="center"/>
    </xf>
    <xf numFmtId="0" fontId="2" fillId="10" borderId="0" xfId="0" applyFont="1" applyFill="1" applyAlignment="1">
      <alignment horizontal="center" vertical="center"/>
    </xf>
    <xf numFmtId="0" fontId="38" fillId="15" borderId="0" xfId="0" applyFont="1" applyFill="1" applyBorder="1" applyAlignment="1">
      <alignment horizontal="left" vertical="center" wrapText="1"/>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42" fillId="15" borderId="0" xfId="0" applyFont="1" applyFill="1" applyAlignment="1">
      <alignment horizontal="center"/>
    </xf>
    <xf numFmtId="0" fontId="47" fillId="0" borderId="1" xfId="0" applyFont="1" applyBorder="1" applyAlignment="1">
      <alignment horizontal="center"/>
    </xf>
    <xf numFmtId="0" fontId="0" fillId="0" borderId="1" xfId="0" applyBorder="1" applyAlignment="1">
      <alignment horizontal="center"/>
    </xf>
    <xf numFmtId="0" fontId="47" fillId="0" borderId="0" xfId="0" applyFont="1" applyBorder="1" applyAlignment="1">
      <alignment horizontal="right"/>
    </xf>
    <xf numFmtId="0" fontId="0" fillId="0" borderId="0" xfId="0" applyBorder="1" applyAlignment="1">
      <alignment horizontal="right"/>
    </xf>
    <xf numFmtId="0" fontId="47" fillId="0" borderId="9" xfId="0" applyFont="1" applyBorder="1" applyAlignment="1">
      <alignment horizontal="right"/>
    </xf>
    <xf numFmtId="0" fontId="0" fillId="0" borderId="9" xfId="0" applyBorder="1" applyAlignment="1">
      <alignment horizontal="right"/>
    </xf>
    <xf numFmtId="0" fontId="42" fillId="10" borderId="0" xfId="0" applyFont="1" applyFill="1" applyAlignment="1">
      <alignment horizontal="center"/>
    </xf>
    <xf numFmtId="0" fontId="47" fillId="0" borderId="4" xfId="0" applyFont="1" applyBorder="1" applyAlignment="1">
      <alignment horizontal="center"/>
    </xf>
    <xf numFmtId="0" fontId="0" fillId="0" borderId="4" xfId="0" applyBorder="1" applyAlignment="1">
      <alignment horizontal="center"/>
    </xf>
    <xf numFmtId="0" fontId="42" fillId="0" borderId="1"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cellXfs>
  <cellStyles count="11">
    <cellStyle name="BT_Normal_RC1" xfId="4"/>
    <cellStyle name="Comma" xfId="1" builtinId="3"/>
    <cellStyle name="Comma 17" xfId="6"/>
    <cellStyle name="Comma 2" xfId="3"/>
    <cellStyle name="Comma 2 2" xfId="7"/>
    <cellStyle name="Comma 2 3" xfId="8"/>
    <cellStyle name="Comma 2 4" xfId="9"/>
    <cellStyle name="Comma 2 5" xfId="10"/>
    <cellStyle name="Normal" xfId="0" builtinId="0"/>
    <cellStyle name="Normal 2" xfId="2"/>
    <cellStyle name="Normal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C6" sqref="C6"/>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14" t="s">
        <v>87</v>
      </c>
      <c r="D2" s="15" t="s">
        <v>88</v>
      </c>
      <c r="E2" s="15" t="s">
        <v>89</v>
      </c>
    </row>
    <row r="3" spans="1:5">
      <c r="A3" s="401">
        <v>1</v>
      </c>
      <c r="B3" s="401"/>
      <c r="C3" s="16" t="s">
        <v>90</v>
      </c>
      <c r="D3" s="17"/>
      <c r="E3" s="18"/>
    </row>
    <row r="4" spans="1:5" ht="39" customHeight="1">
      <c r="A4" s="18"/>
      <c r="B4" s="19" t="s">
        <v>14</v>
      </c>
      <c r="C4" s="20" t="s">
        <v>131</v>
      </c>
      <c r="D4" s="21"/>
      <c r="E4" s="22" t="s">
        <v>91</v>
      </c>
    </row>
    <row r="5" spans="1:5" ht="178.5" customHeight="1">
      <c r="A5" s="18"/>
      <c r="B5" s="19" t="s">
        <v>15</v>
      </c>
      <c r="C5" s="23" t="s">
        <v>92</v>
      </c>
      <c r="D5" s="21" t="s">
        <v>93</v>
      </c>
      <c r="E5" s="21" t="s">
        <v>132</v>
      </c>
    </row>
    <row r="6" spans="1:5" ht="206.25" customHeight="1">
      <c r="A6" s="18"/>
      <c r="B6" s="19" t="s">
        <v>16</v>
      </c>
      <c r="C6" s="23" t="s">
        <v>94</v>
      </c>
      <c r="D6" s="21" t="s">
        <v>95</v>
      </c>
      <c r="E6" s="21" t="s">
        <v>130</v>
      </c>
    </row>
  </sheetData>
  <mergeCells count="3">
    <mergeCell ref="A3:B3"/>
    <mergeCell ref="A1:D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16"/>
  <sheetViews>
    <sheetView showGridLines="0" topLeftCell="A7" zoomScale="90" zoomScaleNormal="90" workbookViewId="0">
      <selection activeCell="K11" sqref="K11"/>
    </sheetView>
  </sheetViews>
  <sheetFormatPr defaultRowHeight="14.25"/>
  <cols>
    <col min="1" max="1" width="9.140625" style="131" customWidth="1"/>
    <col min="2" max="2" width="19.28515625" style="131" customWidth="1"/>
    <col min="3" max="3" width="9.7109375" style="131" customWidth="1"/>
    <col min="4" max="4" width="10.42578125" style="131" customWidth="1"/>
    <col min="5" max="5" width="16.140625" style="131" customWidth="1"/>
    <col min="6" max="6" width="12" style="131" customWidth="1"/>
    <col min="7" max="8" width="10.5703125" style="131" customWidth="1"/>
    <col min="9" max="9" width="12.85546875" style="131" customWidth="1"/>
    <col min="10" max="10" width="14.7109375" style="131" customWidth="1"/>
    <col min="11" max="11" width="16" style="131" customWidth="1"/>
    <col min="12" max="12" width="17.5703125" style="131" customWidth="1"/>
    <col min="13" max="13" width="22.7109375" style="131" customWidth="1"/>
    <col min="14" max="14" width="23.42578125" style="131" customWidth="1"/>
    <col min="15" max="260" width="9.140625" style="131"/>
    <col min="261" max="261" width="4.42578125" style="131" customWidth="1"/>
    <col min="262" max="262" width="24.28515625" style="131" customWidth="1"/>
    <col min="263" max="263" width="12" style="131" customWidth="1"/>
    <col min="264" max="264" width="10.5703125" style="131" customWidth="1"/>
    <col min="265" max="265" width="9.5703125" style="131" bestFit="1" customWidth="1"/>
    <col min="266" max="266" width="17.5703125" style="131" customWidth="1"/>
    <col min="267" max="267" width="16.28515625" style="131" customWidth="1"/>
    <col min="268" max="268" width="9.140625" style="131"/>
    <col min="269" max="269" width="9.140625" style="131" customWidth="1"/>
    <col min="270" max="516" width="9.140625" style="131"/>
    <col min="517" max="517" width="4.42578125" style="131" customWidth="1"/>
    <col min="518" max="518" width="24.28515625" style="131" customWidth="1"/>
    <col min="519" max="519" width="12" style="131" customWidth="1"/>
    <col min="520" max="520" width="10.5703125" style="131" customWidth="1"/>
    <col min="521" max="521" width="9.5703125" style="131" bestFit="1" customWidth="1"/>
    <col min="522" max="522" width="17.5703125" style="131" customWidth="1"/>
    <col min="523" max="523" width="16.28515625" style="131" customWidth="1"/>
    <col min="524" max="524" width="9.140625" style="131"/>
    <col min="525" max="525" width="9.140625" style="131" customWidth="1"/>
    <col min="526" max="772" width="9.140625" style="131"/>
    <col min="773" max="773" width="4.42578125" style="131" customWidth="1"/>
    <col min="774" max="774" width="24.28515625" style="131" customWidth="1"/>
    <col min="775" max="775" width="12" style="131" customWidth="1"/>
    <col min="776" max="776" width="10.5703125" style="131" customWidth="1"/>
    <col min="777" max="777" width="9.5703125" style="131" bestFit="1" customWidth="1"/>
    <col min="778" max="778" width="17.5703125" style="131" customWidth="1"/>
    <col min="779" max="779" width="16.28515625" style="131" customWidth="1"/>
    <col min="780" max="780" width="9.140625" style="131"/>
    <col min="781" max="781" width="9.140625" style="131" customWidth="1"/>
    <col min="782" max="1028" width="9.140625" style="131"/>
    <col min="1029" max="1029" width="4.42578125" style="131" customWidth="1"/>
    <col min="1030" max="1030" width="24.28515625" style="131" customWidth="1"/>
    <col min="1031" max="1031" width="12" style="131" customWidth="1"/>
    <col min="1032" max="1032" width="10.5703125" style="131" customWidth="1"/>
    <col min="1033" max="1033" width="9.5703125" style="131" bestFit="1" customWidth="1"/>
    <col min="1034" max="1034" width="17.5703125" style="131" customWidth="1"/>
    <col min="1035" max="1035" width="16.28515625" style="131" customWidth="1"/>
    <col min="1036" max="1036" width="9.140625" style="131"/>
    <col min="1037" max="1037" width="9.140625" style="131" customWidth="1"/>
    <col min="1038" max="1284" width="9.140625" style="131"/>
    <col min="1285" max="1285" width="4.42578125" style="131" customWidth="1"/>
    <col min="1286" max="1286" width="24.28515625" style="131" customWidth="1"/>
    <col min="1287" max="1287" width="12" style="131" customWidth="1"/>
    <col min="1288" max="1288" width="10.5703125" style="131" customWidth="1"/>
    <col min="1289" max="1289" width="9.5703125" style="131" bestFit="1" customWidth="1"/>
    <col min="1290" max="1290" width="17.5703125" style="131" customWidth="1"/>
    <col min="1291" max="1291" width="16.28515625" style="131" customWidth="1"/>
    <col min="1292" max="1292" width="9.140625" style="131"/>
    <col min="1293" max="1293" width="9.140625" style="131" customWidth="1"/>
    <col min="1294" max="1540" width="9.140625" style="131"/>
    <col min="1541" max="1541" width="4.42578125" style="131" customWidth="1"/>
    <col min="1542" max="1542" width="24.28515625" style="131" customWidth="1"/>
    <col min="1543" max="1543" width="12" style="131" customWidth="1"/>
    <col min="1544" max="1544" width="10.5703125" style="131" customWidth="1"/>
    <col min="1545" max="1545" width="9.5703125" style="131" bestFit="1" customWidth="1"/>
    <col min="1546" max="1546" width="17.5703125" style="131" customWidth="1"/>
    <col min="1547" max="1547" width="16.28515625" style="131" customWidth="1"/>
    <col min="1548" max="1548" width="9.140625" style="131"/>
    <col min="1549" max="1549" width="9.140625" style="131" customWidth="1"/>
    <col min="1550" max="1796" width="9.140625" style="131"/>
    <col min="1797" max="1797" width="4.42578125" style="131" customWidth="1"/>
    <col min="1798" max="1798" width="24.28515625" style="131" customWidth="1"/>
    <col min="1799" max="1799" width="12" style="131" customWidth="1"/>
    <col min="1800" max="1800" width="10.5703125" style="131" customWidth="1"/>
    <col min="1801" max="1801" width="9.5703125" style="131" bestFit="1" customWidth="1"/>
    <col min="1802" max="1802" width="17.5703125" style="131" customWidth="1"/>
    <col min="1803" max="1803" width="16.28515625" style="131" customWidth="1"/>
    <col min="1804" max="1804" width="9.140625" style="131"/>
    <col min="1805" max="1805" width="9.140625" style="131" customWidth="1"/>
    <col min="1806" max="2052" width="9.140625" style="131"/>
    <col min="2053" max="2053" width="4.42578125" style="131" customWidth="1"/>
    <col min="2054" max="2054" width="24.28515625" style="131" customWidth="1"/>
    <col min="2055" max="2055" width="12" style="131" customWidth="1"/>
    <col min="2056" max="2056" width="10.5703125" style="131" customWidth="1"/>
    <col min="2057" max="2057" width="9.5703125" style="131" bestFit="1" customWidth="1"/>
    <col min="2058" max="2058" width="17.5703125" style="131" customWidth="1"/>
    <col min="2059" max="2059" width="16.28515625" style="131" customWidth="1"/>
    <col min="2060" max="2060" width="9.140625" style="131"/>
    <col min="2061" max="2061" width="9.140625" style="131" customWidth="1"/>
    <col min="2062" max="2308" width="9.140625" style="131"/>
    <col min="2309" max="2309" width="4.42578125" style="131" customWidth="1"/>
    <col min="2310" max="2310" width="24.28515625" style="131" customWidth="1"/>
    <col min="2311" max="2311" width="12" style="131" customWidth="1"/>
    <col min="2312" max="2312" width="10.5703125" style="131" customWidth="1"/>
    <col min="2313" max="2313" width="9.5703125" style="131" bestFit="1" customWidth="1"/>
    <col min="2314" max="2314" width="17.5703125" style="131" customWidth="1"/>
    <col min="2315" max="2315" width="16.28515625" style="131" customWidth="1"/>
    <col min="2316" max="2316" width="9.140625" style="131"/>
    <col min="2317" max="2317" width="9.140625" style="131" customWidth="1"/>
    <col min="2318" max="2564" width="9.140625" style="131"/>
    <col min="2565" max="2565" width="4.42578125" style="131" customWidth="1"/>
    <col min="2566" max="2566" width="24.28515625" style="131" customWidth="1"/>
    <col min="2567" max="2567" width="12" style="131" customWidth="1"/>
    <col min="2568" max="2568" width="10.5703125" style="131" customWidth="1"/>
    <col min="2569" max="2569" width="9.5703125" style="131" bestFit="1" customWidth="1"/>
    <col min="2570" max="2570" width="17.5703125" style="131" customWidth="1"/>
    <col min="2571" max="2571" width="16.28515625" style="131" customWidth="1"/>
    <col min="2572" max="2572" width="9.140625" style="131"/>
    <col min="2573" max="2573" width="9.140625" style="131" customWidth="1"/>
    <col min="2574" max="2820" width="9.140625" style="131"/>
    <col min="2821" max="2821" width="4.42578125" style="131" customWidth="1"/>
    <col min="2822" max="2822" width="24.28515625" style="131" customWidth="1"/>
    <col min="2823" max="2823" width="12" style="131" customWidth="1"/>
    <col min="2824" max="2824" width="10.5703125" style="131" customWidth="1"/>
    <col min="2825" max="2825" width="9.5703125" style="131" bestFit="1" customWidth="1"/>
    <col min="2826" max="2826" width="17.5703125" style="131" customWidth="1"/>
    <col min="2827" max="2827" width="16.28515625" style="131" customWidth="1"/>
    <col min="2828" max="2828" width="9.140625" style="131"/>
    <col min="2829" max="2829" width="9.140625" style="131" customWidth="1"/>
    <col min="2830" max="3076" width="9.140625" style="131"/>
    <col min="3077" max="3077" width="4.42578125" style="131" customWidth="1"/>
    <col min="3078" max="3078" width="24.28515625" style="131" customWidth="1"/>
    <col min="3079" max="3079" width="12" style="131" customWidth="1"/>
    <col min="3080" max="3080" width="10.5703125" style="131" customWidth="1"/>
    <col min="3081" max="3081" width="9.5703125" style="131" bestFit="1" customWidth="1"/>
    <col min="3082" max="3082" width="17.5703125" style="131" customWidth="1"/>
    <col min="3083" max="3083" width="16.28515625" style="131" customWidth="1"/>
    <col min="3084" max="3084" width="9.140625" style="131"/>
    <col min="3085" max="3085" width="9.140625" style="131" customWidth="1"/>
    <col min="3086" max="3332" width="9.140625" style="131"/>
    <col min="3333" max="3333" width="4.42578125" style="131" customWidth="1"/>
    <col min="3334" max="3334" width="24.28515625" style="131" customWidth="1"/>
    <col min="3335" max="3335" width="12" style="131" customWidth="1"/>
    <col min="3336" max="3336" width="10.5703125" style="131" customWidth="1"/>
    <col min="3337" max="3337" width="9.5703125" style="131" bestFit="1" customWidth="1"/>
    <col min="3338" max="3338" width="17.5703125" style="131" customWidth="1"/>
    <col min="3339" max="3339" width="16.28515625" style="131" customWidth="1"/>
    <col min="3340" max="3340" width="9.140625" style="131"/>
    <col min="3341" max="3341" width="9.140625" style="131" customWidth="1"/>
    <col min="3342" max="3588" width="9.140625" style="131"/>
    <col min="3589" max="3589" width="4.42578125" style="131" customWidth="1"/>
    <col min="3590" max="3590" width="24.28515625" style="131" customWidth="1"/>
    <col min="3591" max="3591" width="12" style="131" customWidth="1"/>
    <col min="3592" max="3592" width="10.5703125" style="131" customWidth="1"/>
    <col min="3593" max="3593" width="9.5703125" style="131" bestFit="1" customWidth="1"/>
    <col min="3594" max="3594" width="17.5703125" style="131" customWidth="1"/>
    <col min="3595" max="3595" width="16.28515625" style="131" customWidth="1"/>
    <col min="3596" max="3596" width="9.140625" style="131"/>
    <col min="3597" max="3597" width="9.140625" style="131" customWidth="1"/>
    <col min="3598" max="3844" width="9.140625" style="131"/>
    <col min="3845" max="3845" width="4.42578125" style="131" customWidth="1"/>
    <col min="3846" max="3846" width="24.28515625" style="131" customWidth="1"/>
    <col min="3847" max="3847" width="12" style="131" customWidth="1"/>
    <col min="3848" max="3848" width="10.5703125" style="131" customWidth="1"/>
    <col min="3849" max="3849" width="9.5703125" style="131" bestFit="1" customWidth="1"/>
    <col min="3850" max="3850" width="17.5703125" style="131" customWidth="1"/>
    <col min="3851" max="3851" width="16.28515625" style="131" customWidth="1"/>
    <col min="3852" max="3852" width="9.140625" style="131"/>
    <col min="3853" max="3853" width="9.140625" style="131" customWidth="1"/>
    <col min="3854" max="4100" width="9.140625" style="131"/>
    <col min="4101" max="4101" width="4.42578125" style="131" customWidth="1"/>
    <col min="4102" max="4102" width="24.28515625" style="131" customWidth="1"/>
    <col min="4103" max="4103" width="12" style="131" customWidth="1"/>
    <col min="4104" max="4104" width="10.5703125" style="131" customWidth="1"/>
    <col min="4105" max="4105" width="9.5703125" style="131" bestFit="1" customWidth="1"/>
    <col min="4106" max="4106" width="17.5703125" style="131" customWidth="1"/>
    <col min="4107" max="4107" width="16.28515625" style="131" customWidth="1"/>
    <col min="4108" max="4108" width="9.140625" style="131"/>
    <col min="4109" max="4109" width="9.140625" style="131" customWidth="1"/>
    <col min="4110" max="4356" width="9.140625" style="131"/>
    <col min="4357" max="4357" width="4.42578125" style="131" customWidth="1"/>
    <col min="4358" max="4358" width="24.28515625" style="131" customWidth="1"/>
    <col min="4359" max="4359" width="12" style="131" customWidth="1"/>
    <col min="4360" max="4360" width="10.5703125" style="131" customWidth="1"/>
    <col min="4361" max="4361" width="9.5703125" style="131" bestFit="1" customWidth="1"/>
    <col min="4362" max="4362" width="17.5703125" style="131" customWidth="1"/>
    <col min="4363" max="4363" width="16.28515625" style="131" customWidth="1"/>
    <col min="4364" max="4364" width="9.140625" style="131"/>
    <col min="4365" max="4365" width="9.140625" style="131" customWidth="1"/>
    <col min="4366" max="4612" width="9.140625" style="131"/>
    <col min="4613" max="4613" width="4.42578125" style="131" customWidth="1"/>
    <col min="4614" max="4614" width="24.28515625" style="131" customWidth="1"/>
    <col min="4615" max="4615" width="12" style="131" customWidth="1"/>
    <col min="4616" max="4616" width="10.5703125" style="131" customWidth="1"/>
    <col min="4617" max="4617" width="9.5703125" style="131" bestFit="1" customWidth="1"/>
    <col min="4618" max="4618" width="17.5703125" style="131" customWidth="1"/>
    <col min="4619" max="4619" width="16.28515625" style="131" customWidth="1"/>
    <col min="4620" max="4620" width="9.140625" style="131"/>
    <col min="4621" max="4621" width="9.140625" style="131" customWidth="1"/>
    <col min="4622" max="4868" width="9.140625" style="131"/>
    <col min="4869" max="4869" width="4.42578125" style="131" customWidth="1"/>
    <col min="4870" max="4870" width="24.28515625" style="131" customWidth="1"/>
    <col min="4871" max="4871" width="12" style="131" customWidth="1"/>
    <col min="4872" max="4872" width="10.5703125" style="131" customWidth="1"/>
    <col min="4873" max="4873" width="9.5703125" style="131" bestFit="1" customWidth="1"/>
    <col min="4874" max="4874" width="17.5703125" style="131" customWidth="1"/>
    <col min="4875" max="4875" width="16.28515625" style="131" customWidth="1"/>
    <col min="4876" max="4876" width="9.140625" style="131"/>
    <col min="4877" max="4877" width="9.140625" style="131" customWidth="1"/>
    <col min="4878" max="5124" width="9.140625" style="131"/>
    <col min="5125" max="5125" width="4.42578125" style="131" customWidth="1"/>
    <col min="5126" max="5126" width="24.28515625" style="131" customWidth="1"/>
    <col min="5127" max="5127" width="12" style="131" customWidth="1"/>
    <col min="5128" max="5128" width="10.5703125" style="131" customWidth="1"/>
    <col min="5129" max="5129" width="9.5703125" style="131" bestFit="1" customWidth="1"/>
    <col min="5130" max="5130" width="17.5703125" style="131" customWidth="1"/>
    <col min="5131" max="5131" width="16.28515625" style="131" customWidth="1"/>
    <col min="5132" max="5132" width="9.140625" style="131"/>
    <col min="5133" max="5133" width="9.140625" style="131" customWidth="1"/>
    <col min="5134" max="5380" width="9.140625" style="131"/>
    <col min="5381" max="5381" width="4.42578125" style="131" customWidth="1"/>
    <col min="5382" max="5382" width="24.28515625" style="131" customWidth="1"/>
    <col min="5383" max="5383" width="12" style="131" customWidth="1"/>
    <col min="5384" max="5384" width="10.5703125" style="131" customWidth="1"/>
    <col min="5385" max="5385" width="9.5703125" style="131" bestFit="1" customWidth="1"/>
    <col min="5386" max="5386" width="17.5703125" style="131" customWidth="1"/>
    <col min="5387" max="5387" width="16.28515625" style="131" customWidth="1"/>
    <col min="5388" max="5388" width="9.140625" style="131"/>
    <col min="5389" max="5389" width="9.140625" style="131" customWidth="1"/>
    <col min="5390" max="5636" width="9.140625" style="131"/>
    <col min="5637" max="5637" width="4.42578125" style="131" customWidth="1"/>
    <col min="5638" max="5638" width="24.28515625" style="131" customWidth="1"/>
    <col min="5639" max="5639" width="12" style="131" customWidth="1"/>
    <col min="5640" max="5640" width="10.5703125" style="131" customWidth="1"/>
    <col min="5641" max="5641" width="9.5703125" style="131" bestFit="1" customWidth="1"/>
    <col min="5642" max="5642" width="17.5703125" style="131" customWidth="1"/>
    <col min="5643" max="5643" width="16.28515625" style="131" customWidth="1"/>
    <col min="5644" max="5644" width="9.140625" style="131"/>
    <col min="5645" max="5645" width="9.140625" style="131" customWidth="1"/>
    <col min="5646" max="5892" width="9.140625" style="131"/>
    <col min="5893" max="5893" width="4.42578125" style="131" customWidth="1"/>
    <col min="5894" max="5894" width="24.28515625" style="131" customWidth="1"/>
    <col min="5895" max="5895" width="12" style="131" customWidth="1"/>
    <col min="5896" max="5896" width="10.5703125" style="131" customWidth="1"/>
    <col min="5897" max="5897" width="9.5703125" style="131" bestFit="1" customWidth="1"/>
    <col min="5898" max="5898" width="17.5703125" style="131" customWidth="1"/>
    <col min="5899" max="5899" width="16.28515625" style="131" customWidth="1"/>
    <col min="5900" max="5900" width="9.140625" style="131"/>
    <col min="5901" max="5901" width="9.140625" style="131" customWidth="1"/>
    <col min="5902" max="6148" width="9.140625" style="131"/>
    <col min="6149" max="6149" width="4.42578125" style="131" customWidth="1"/>
    <col min="6150" max="6150" width="24.28515625" style="131" customWidth="1"/>
    <col min="6151" max="6151" width="12" style="131" customWidth="1"/>
    <col min="6152" max="6152" width="10.5703125" style="131" customWidth="1"/>
    <col min="6153" max="6153" width="9.5703125" style="131" bestFit="1" customWidth="1"/>
    <col min="6154" max="6154" width="17.5703125" style="131" customWidth="1"/>
    <col min="6155" max="6155" width="16.28515625" style="131" customWidth="1"/>
    <col min="6156" max="6156" width="9.140625" style="131"/>
    <col min="6157" max="6157" width="9.140625" style="131" customWidth="1"/>
    <col min="6158" max="6404" width="9.140625" style="131"/>
    <col min="6405" max="6405" width="4.42578125" style="131" customWidth="1"/>
    <col min="6406" max="6406" width="24.28515625" style="131" customWidth="1"/>
    <col min="6407" max="6407" width="12" style="131" customWidth="1"/>
    <col min="6408" max="6408" width="10.5703125" style="131" customWidth="1"/>
    <col min="6409" max="6409" width="9.5703125" style="131" bestFit="1" customWidth="1"/>
    <col min="6410" max="6410" width="17.5703125" style="131" customWidth="1"/>
    <col min="6411" max="6411" width="16.28515625" style="131" customWidth="1"/>
    <col min="6412" max="6412" width="9.140625" style="131"/>
    <col min="6413" max="6413" width="9.140625" style="131" customWidth="1"/>
    <col min="6414" max="6660" width="9.140625" style="131"/>
    <col min="6661" max="6661" width="4.42578125" style="131" customWidth="1"/>
    <col min="6662" max="6662" width="24.28515625" style="131" customWidth="1"/>
    <col min="6663" max="6663" width="12" style="131" customWidth="1"/>
    <col min="6664" max="6664" width="10.5703125" style="131" customWidth="1"/>
    <col min="6665" max="6665" width="9.5703125" style="131" bestFit="1" customWidth="1"/>
    <col min="6666" max="6666" width="17.5703125" style="131" customWidth="1"/>
    <col min="6667" max="6667" width="16.28515625" style="131" customWidth="1"/>
    <col min="6668" max="6668" width="9.140625" style="131"/>
    <col min="6669" max="6669" width="9.140625" style="131" customWidth="1"/>
    <col min="6670" max="6916" width="9.140625" style="131"/>
    <col min="6917" max="6917" width="4.42578125" style="131" customWidth="1"/>
    <col min="6918" max="6918" width="24.28515625" style="131" customWidth="1"/>
    <col min="6919" max="6919" width="12" style="131" customWidth="1"/>
    <col min="6920" max="6920" width="10.5703125" style="131" customWidth="1"/>
    <col min="6921" max="6921" width="9.5703125" style="131" bestFit="1" customWidth="1"/>
    <col min="6922" max="6922" width="17.5703125" style="131" customWidth="1"/>
    <col min="6923" max="6923" width="16.28515625" style="131" customWidth="1"/>
    <col min="6924" max="6924" width="9.140625" style="131"/>
    <col min="6925" max="6925" width="9.140625" style="131" customWidth="1"/>
    <col min="6926" max="7172" width="9.140625" style="131"/>
    <col min="7173" max="7173" width="4.42578125" style="131" customWidth="1"/>
    <col min="7174" max="7174" width="24.28515625" style="131" customWidth="1"/>
    <col min="7175" max="7175" width="12" style="131" customWidth="1"/>
    <col min="7176" max="7176" width="10.5703125" style="131" customWidth="1"/>
    <col min="7177" max="7177" width="9.5703125" style="131" bestFit="1" customWidth="1"/>
    <col min="7178" max="7178" width="17.5703125" style="131" customWidth="1"/>
    <col min="7179" max="7179" width="16.28515625" style="131" customWidth="1"/>
    <col min="7180" max="7180" width="9.140625" style="131"/>
    <col min="7181" max="7181" width="9.140625" style="131" customWidth="1"/>
    <col min="7182" max="7428" width="9.140625" style="131"/>
    <col min="7429" max="7429" width="4.42578125" style="131" customWidth="1"/>
    <col min="7430" max="7430" width="24.28515625" style="131" customWidth="1"/>
    <col min="7431" max="7431" width="12" style="131" customWidth="1"/>
    <col min="7432" max="7432" width="10.5703125" style="131" customWidth="1"/>
    <col min="7433" max="7433" width="9.5703125" style="131" bestFit="1" customWidth="1"/>
    <col min="7434" max="7434" width="17.5703125" style="131" customWidth="1"/>
    <col min="7435" max="7435" width="16.28515625" style="131" customWidth="1"/>
    <col min="7436" max="7436" width="9.140625" style="131"/>
    <col min="7437" max="7437" width="9.140625" style="131" customWidth="1"/>
    <col min="7438" max="7684" width="9.140625" style="131"/>
    <col min="7685" max="7685" width="4.42578125" style="131" customWidth="1"/>
    <col min="7686" max="7686" width="24.28515625" style="131" customWidth="1"/>
    <col min="7687" max="7687" width="12" style="131" customWidth="1"/>
    <col min="7688" max="7688" width="10.5703125" style="131" customWidth="1"/>
    <col min="7689" max="7689" width="9.5703125" style="131" bestFit="1" customWidth="1"/>
    <col min="7690" max="7690" width="17.5703125" style="131" customWidth="1"/>
    <col min="7691" max="7691" width="16.28515625" style="131" customWidth="1"/>
    <col min="7692" max="7692" width="9.140625" style="131"/>
    <col min="7693" max="7693" width="9.140625" style="131" customWidth="1"/>
    <col min="7694" max="7940" width="9.140625" style="131"/>
    <col min="7941" max="7941" width="4.42578125" style="131" customWidth="1"/>
    <col min="7942" max="7942" width="24.28515625" style="131" customWidth="1"/>
    <col min="7943" max="7943" width="12" style="131" customWidth="1"/>
    <col min="7944" max="7944" width="10.5703125" style="131" customWidth="1"/>
    <col min="7945" max="7945" width="9.5703125" style="131" bestFit="1" customWidth="1"/>
    <col min="7946" max="7946" width="17.5703125" style="131" customWidth="1"/>
    <col min="7947" max="7947" width="16.28515625" style="131" customWidth="1"/>
    <col min="7948" max="7948" width="9.140625" style="131"/>
    <col min="7949" max="7949" width="9.140625" style="131" customWidth="1"/>
    <col min="7950" max="8196" width="9.140625" style="131"/>
    <col min="8197" max="8197" width="4.42578125" style="131" customWidth="1"/>
    <col min="8198" max="8198" width="24.28515625" style="131" customWidth="1"/>
    <col min="8199" max="8199" width="12" style="131" customWidth="1"/>
    <col min="8200" max="8200" width="10.5703125" style="131" customWidth="1"/>
    <col min="8201" max="8201" width="9.5703125" style="131" bestFit="1" customWidth="1"/>
    <col min="8202" max="8202" width="17.5703125" style="131" customWidth="1"/>
    <col min="8203" max="8203" width="16.28515625" style="131" customWidth="1"/>
    <col min="8204" max="8204" width="9.140625" style="131"/>
    <col min="8205" max="8205" width="9.140625" style="131" customWidth="1"/>
    <col min="8206" max="8452" width="9.140625" style="131"/>
    <col min="8453" max="8453" width="4.42578125" style="131" customWidth="1"/>
    <col min="8454" max="8454" width="24.28515625" style="131" customWidth="1"/>
    <col min="8455" max="8455" width="12" style="131" customWidth="1"/>
    <col min="8456" max="8456" width="10.5703125" style="131" customWidth="1"/>
    <col min="8457" max="8457" width="9.5703125" style="131" bestFit="1" customWidth="1"/>
    <col min="8458" max="8458" width="17.5703125" style="131" customWidth="1"/>
    <col min="8459" max="8459" width="16.28515625" style="131" customWidth="1"/>
    <col min="8460" max="8460" width="9.140625" style="131"/>
    <col min="8461" max="8461" width="9.140625" style="131" customWidth="1"/>
    <col min="8462" max="8708" width="9.140625" style="131"/>
    <col min="8709" max="8709" width="4.42578125" style="131" customWidth="1"/>
    <col min="8710" max="8710" width="24.28515625" style="131" customWidth="1"/>
    <col min="8711" max="8711" width="12" style="131" customWidth="1"/>
    <col min="8712" max="8712" width="10.5703125" style="131" customWidth="1"/>
    <col min="8713" max="8713" width="9.5703125" style="131" bestFit="1" customWidth="1"/>
    <col min="8714" max="8714" width="17.5703125" style="131" customWidth="1"/>
    <col min="8715" max="8715" width="16.28515625" style="131" customWidth="1"/>
    <col min="8716" max="8716" width="9.140625" style="131"/>
    <col min="8717" max="8717" width="9.140625" style="131" customWidth="1"/>
    <col min="8718" max="8964" width="9.140625" style="131"/>
    <col min="8965" max="8965" width="4.42578125" style="131" customWidth="1"/>
    <col min="8966" max="8966" width="24.28515625" style="131" customWidth="1"/>
    <col min="8967" max="8967" width="12" style="131" customWidth="1"/>
    <col min="8968" max="8968" width="10.5703125" style="131" customWidth="1"/>
    <col min="8969" max="8969" width="9.5703125" style="131" bestFit="1" customWidth="1"/>
    <col min="8970" max="8970" width="17.5703125" style="131" customWidth="1"/>
    <col min="8971" max="8971" width="16.28515625" style="131" customWidth="1"/>
    <col min="8972" max="8972" width="9.140625" style="131"/>
    <col min="8973" max="8973" width="9.140625" style="131" customWidth="1"/>
    <col min="8974" max="9220" width="9.140625" style="131"/>
    <col min="9221" max="9221" width="4.42578125" style="131" customWidth="1"/>
    <col min="9222" max="9222" width="24.28515625" style="131" customWidth="1"/>
    <col min="9223" max="9223" width="12" style="131" customWidth="1"/>
    <col min="9224" max="9224" width="10.5703125" style="131" customWidth="1"/>
    <col min="9225" max="9225" width="9.5703125" style="131" bestFit="1" customWidth="1"/>
    <col min="9226" max="9226" width="17.5703125" style="131" customWidth="1"/>
    <col min="9227" max="9227" width="16.28515625" style="131" customWidth="1"/>
    <col min="9228" max="9228" width="9.140625" style="131"/>
    <col min="9229" max="9229" width="9.140625" style="131" customWidth="1"/>
    <col min="9230" max="9476" width="9.140625" style="131"/>
    <col min="9477" max="9477" width="4.42578125" style="131" customWidth="1"/>
    <col min="9478" max="9478" width="24.28515625" style="131" customWidth="1"/>
    <col min="9479" max="9479" width="12" style="131" customWidth="1"/>
    <col min="9480" max="9480" width="10.5703125" style="131" customWidth="1"/>
    <col min="9481" max="9481" width="9.5703125" style="131" bestFit="1" customWidth="1"/>
    <col min="9482" max="9482" width="17.5703125" style="131" customWidth="1"/>
    <col min="9483" max="9483" width="16.28515625" style="131" customWidth="1"/>
    <col min="9484" max="9484" width="9.140625" style="131"/>
    <col min="9485" max="9485" width="9.140625" style="131" customWidth="1"/>
    <col min="9486" max="9732" width="9.140625" style="131"/>
    <col min="9733" max="9733" width="4.42578125" style="131" customWidth="1"/>
    <col min="9734" max="9734" width="24.28515625" style="131" customWidth="1"/>
    <col min="9735" max="9735" width="12" style="131" customWidth="1"/>
    <col min="9736" max="9736" width="10.5703125" style="131" customWidth="1"/>
    <col min="9737" max="9737" width="9.5703125" style="131" bestFit="1" customWidth="1"/>
    <col min="9738" max="9738" width="17.5703125" style="131" customWidth="1"/>
    <col min="9739" max="9739" width="16.28515625" style="131" customWidth="1"/>
    <col min="9740" max="9740" width="9.140625" style="131"/>
    <col min="9741" max="9741" width="9.140625" style="131" customWidth="1"/>
    <col min="9742" max="9988" width="9.140625" style="131"/>
    <col min="9989" max="9989" width="4.42578125" style="131" customWidth="1"/>
    <col min="9990" max="9990" width="24.28515625" style="131" customWidth="1"/>
    <col min="9991" max="9991" width="12" style="131" customWidth="1"/>
    <col min="9992" max="9992" width="10.5703125" style="131" customWidth="1"/>
    <col min="9993" max="9993" width="9.5703125" style="131" bestFit="1" customWidth="1"/>
    <col min="9994" max="9994" width="17.5703125" style="131" customWidth="1"/>
    <col min="9995" max="9995" width="16.28515625" style="131" customWidth="1"/>
    <col min="9996" max="9996" width="9.140625" style="131"/>
    <col min="9997" max="9997" width="9.140625" style="131" customWidth="1"/>
    <col min="9998" max="10244" width="9.140625" style="131"/>
    <col min="10245" max="10245" width="4.42578125" style="131" customWidth="1"/>
    <col min="10246" max="10246" width="24.28515625" style="131" customWidth="1"/>
    <col min="10247" max="10247" width="12" style="131" customWidth="1"/>
    <col min="10248" max="10248" width="10.5703125" style="131" customWidth="1"/>
    <col min="10249" max="10249" width="9.5703125" style="131" bestFit="1" customWidth="1"/>
    <col min="10250" max="10250" width="17.5703125" style="131" customWidth="1"/>
    <col min="10251" max="10251" width="16.28515625" style="131" customWidth="1"/>
    <col min="10252" max="10252" width="9.140625" style="131"/>
    <col min="10253" max="10253" width="9.140625" style="131" customWidth="1"/>
    <col min="10254" max="10500" width="9.140625" style="131"/>
    <col min="10501" max="10501" width="4.42578125" style="131" customWidth="1"/>
    <col min="10502" max="10502" width="24.28515625" style="131" customWidth="1"/>
    <col min="10503" max="10503" width="12" style="131" customWidth="1"/>
    <col min="10504" max="10504" width="10.5703125" style="131" customWidth="1"/>
    <col min="10505" max="10505" width="9.5703125" style="131" bestFit="1" customWidth="1"/>
    <col min="10506" max="10506" width="17.5703125" style="131" customWidth="1"/>
    <col min="10507" max="10507" width="16.28515625" style="131" customWidth="1"/>
    <col min="10508" max="10508" width="9.140625" style="131"/>
    <col min="10509" max="10509" width="9.140625" style="131" customWidth="1"/>
    <col min="10510" max="10756" width="9.140625" style="131"/>
    <col min="10757" max="10757" width="4.42578125" style="131" customWidth="1"/>
    <col min="10758" max="10758" width="24.28515625" style="131" customWidth="1"/>
    <col min="10759" max="10759" width="12" style="131" customWidth="1"/>
    <col min="10760" max="10760" width="10.5703125" style="131" customWidth="1"/>
    <col min="10761" max="10761" width="9.5703125" style="131" bestFit="1" customWidth="1"/>
    <col min="10762" max="10762" width="17.5703125" style="131" customWidth="1"/>
    <col min="10763" max="10763" width="16.28515625" style="131" customWidth="1"/>
    <col min="10764" max="10764" width="9.140625" style="131"/>
    <col min="10765" max="10765" width="9.140625" style="131" customWidth="1"/>
    <col min="10766" max="11012" width="9.140625" style="131"/>
    <col min="11013" max="11013" width="4.42578125" style="131" customWidth="1"/>
    <col min="11014" max="11014" width="24.28515625" style="131" customWidth="1"/>
    <col min="11015" max="11015" width="12" style="131" customWidth="1"/>
    <col min="11016" max="11016" width="10.5703125" style="131" customWidth="1"/>
    <col min="11017" max="11017" width="9.5703125" style="131" bestFit="1" customWidth="1"/>
    <col min="11018" max="11018" width="17.5703125" style="131" customWidth="1"/>
    <col min="11019" max="11019" width="16.28515625" style="131" customWidth="1"/>
    <col min="11020" max="11020" width="9.140625" style="131"/>
    <col min="11021" max="11021" width="9.140625" style="131" customWidth="1"/>
    <col min="11022" max="11268" width="9.140625" style="131"/>
    <col min="11269" max="11269" width="4.42578125" style="131" customWidth="1"/>
    <col min="11270" max="11270" width="24.28515625" style="131" customWidth="1"/>
    <col min="11271" max="11271" width="12" style="131" customWidth="1"/>
    <col min="11272" max="11272" width="10.5703125" style="131" customWidth="1"/>
    <col min="11273" max="11273" width="9.5703125" style="131" bestFit="1" customWidth="1"/>
    <col min="11274" max="11274" width="17.5703125" style="131" customWidth="1"/>
    <col min="11275" max="11275" width="16.28515625" style="131" customWidth="1"/>
    <col min="11276" max="11276" width="9.140625" style="131"/>
    <col min="11277" max="11277" width="9.140625" style="131" customWidth="1"/>
    <col min="11278" max="11524" width="9.140625" style="131"/>
    <col min="11525" max="11525" width="4.42578125" style="131" customWidth="1"/>
    <col min="11526" max="11526" width="24.28515625" style="131" customWidth="1"/>
    <col min="11527" max="11527" width="12" style="131" customWidth="1"/>
    <col min="11528" max="11528" width="10.5703125" style="131" customWidth="1"/>
    <col min="11529" max="11529" width="9.5703125" style="131" bestFit="1" customWidth="1"/>
    <col min="11530" max="11530" width="17.5703125" style="131" customWidth="1"/>
    <col min="11531" max="11531" width="16.28515625" style="131" customWidth="1"/>
    <col min="11532" max="11532" width="9.140625" style="131"/>
    <col min="11533" max="11533" width="9.140625" style="131" customWidth="1"/>
    <col min="11534" max="11780" width="9.140625" style="131"/>
    <col min="11781" max="11781" width="4.42578125" style="131" customWidth="1"/>
    <col min="11782" max="11782" width="24.28515625" style="131" customWidth="1"/>
    <col min="11783" max="11783" width="12" style="131" customWidth="1"/>
    <col min="11784" max="11784" width="10.5703125" style="131" customWidth="1"/>
    <col min="11785" max="11785" width="9.5703125" style="131" bestFit="1" customWidth="1"/>
    <col min="11786" max="11786" width="17.5703125" style="131" customWidth="1"/>
    <col min="11787" max="11787" width="16.28515625" style="131" customWidth="1"/>
    <col min="11788" max="11788" width="9.140625" style="131"/>
    <col min="11789" max="11789" width="9.140625" style="131" customWidth="1"/>
    <col min="11790" max="12036" width="9.140625" style="131"/>
    <col min="12037" max="12037" width="4.42578125" style="131" customWidth="1"/>
    <col min="12038" max="12038" width="24.28515625" style="131" customWidth="1"/>
    <col min="12039" max="12039" width="12" style="131" customWidth="1"/>
    <col min="12040" max="12040" width="10.5703125" style="131" customWidth="1"/>
    <col min="12041" max="12041" width="9.5703125" style="131" bestFit="1" customWidth="1"/>
    <col min="12042" max="12042" width="17.5703125" style="131" customWidth="1"/>
    <col min="12043" max="12043" width="16.28515625" style="131" customWidth="1"/>
    <col min="12044" max="12044" width="9.140625" style="131"/>
    <col min="12045" max="12045" width="9.140625" style="131" customWidth="1"/>
    <col min="12046" max="12292" width="9.140625" style="131"/>
    <col min="12293" max="12293" width="4.42578125" style="131" customWidth="1"/>
    <col min="12294" max="12294" width="24.28515625" style="131" customWidth="1"/>
    <col min="12295" max="12295" width="12" style="131" customWidth="1"/>
    <col min="12296" max="12296" width="10.5703125" style="131" customWidth="1"/>
    <col min="12297" max="12297" width="9.5703125" style="131" bestFit="1" customWidth="1"/>
    <col min="12298" max="12298" width="17.5703125" style="131" customWidth="1"/>
    <col min="12299" max="12299" width="16.28515625" style="131" customWidth="1"/>
    <col min="12300" max="12300" width="9.140625" style="131"/>
    <col min="12301" max="12301" width="9.140625" style="131" customWidth="1"/>
    <col min="12302" max="12548" width="9.140625" style="131"/>
    <col min="12549" max="12549" width="4.42578125" style="131" customWidth="1"/>
    <col min="12550" max="12550" width="24.28515625" style="131" customWidth="1"/>
    <col min="12551" max="12551" width="12" style="131" customWidth="1"/>
    <col min="12552" max="12552" width="10.5703125" style="131" customWidth="1"/>
    <col min="12553" max="12553" width="9.5703125" style="131" bestFit="1" customWidth="1"/>
    <col min="12554" max="12554" width="17.5703125" style="131" customWidth="1"/>
    <col min="12555" max="12555" width="16.28515625" style="131" customWidth="1"/>
    <col min="12556" max="12556" width="9.140625" style="131"/>
    <col min="12557" max="12557" width="9.140625" style="131" customWidth="1"/>
    <col min="12558" max="12804" width="9.140625" style="131"/>
    <col min="12805" max="12805" width="4.42578125" style="131" customWidth="1"/>
    <col min="12806" max="12806" width="24.28515625" style="131" customWidth="1"/>
    <col min="12807" max="12807" width="12" style="131" customWidth="1"/>
    <col min="12808" max="12808" width="10.5703125" style="131" customWidth="1"/>
    <col min="12809" max="12809" width="9.5703125" style="131" bestFit="1" customWidth="1"/>
    <col min="12810" max="12810" width="17.5703125" style="131" customWidth="1"/>
    <col min="12811" max="12811" width="16.28515625" style="131" customWidth="1"/>
    <col min="12812" max="12812" width="9.140625" style="131"/>
    <col min="12813" max="12813" width="9.140625" style="131" customWidth="1"/>
    <col min="12814" max="13060" width="9.140625" style="131"/>
    <col min="13061" max="13061" width="4.42578125" style="131" customWidth="1"/>
    <col min="13062" max="13062" width="24.28515625" style="131" customWidth="1"/>
    <col min="13063" max="13063" width="12" style="131" customWidth="1"/>
    <col min="13064" max="13064" width="10.5703125" style="131" customWidth="1"/>
    <col min="13065" max="13065" width="9.5703125" style="131" bestFit="1" customWidth="1"/>
    <col min="13066" max="13066" width="17.5703125" style="131" customWidth="1"/>
    <col min="13067" max="13067" width="16.28515625" style="131" customWidth="1"/>
    <col min="13068" max="13068" width="9.140625" style="131"/>
    <col min="13069" max="13069" width="9.140625" style="131" customWidth="1"/>
    <col min="13070" max="13316" width="9.140625" style="131"/>
    <col min="13317" max="13317" width="4.42578125" style="131" customWidth="1"/>
    <col min="13318" max="13318" width="24.28515625" style="131" customWidth="1"/>
    <col min="13319" max="13319" width="12" style="131" customWidth="1"/>
    <col min="13320" max="13320" width="10.5703125" style="131" customWidth="1"/>
    <col min="13321" max="13321" width="9.5703125" style="131" bestFit="1" customWidth="1"/>
    <col min="13322" max="13322" width="17.5703125" style="131" customWidth="1"/>
    <col min="13323" max="13323" width="16.28515625" style="131" customWidth="1"/>
    <col min="13324" max="13324" width="9.140625" style="131"/>
    <col min="13325" max="13325" width="9.140625" style="131" customWidth="1"/>
    <col min="13326" max="13572" width="9.140625" style="131"/>
    <col min="13573" max="13573" width="4.42578125" style="131" customWidth="1"/>
    <col min="13574" max="13574" width="24.28515625" style="131" customWidth="1"/>
    <col min="13575" max="13575" width="12" style="131" customWidth="1"/>
    <col min="13576" max="13576" width="10.5703125" style="131" customWidth="1"/>
    <col min="13577" max="13577" width="9.5703125" style="131" bestFit="1" customWidth="1"/>
    <col min="13578" max="13578" width="17.5703125" style="131" customWidth="1"/>
    <col min="13579" max="13579" width="16.28515625" style="131" customWidth="1"/>
    <col min="13580" max="13580" width="9.140625" style="131"/>
    <col min="13581" max="13581" width="9.140625" style="131" customWidth="1"/>
    <col min="13582" max="13828" width="9.140625" style="131"/>
    <col min="13829" max="13829" width="4.42578125" style="131" customWidth="1"/>
    <col min="13830" max="13830" width="24.28515625" style="131" customWidth="1"/>
    <col min="13831" max="13831" width="12" style="131" customWidth="1"/>
    <col min="13832" max="13832" width="10.5703125" style="131" customWidth="1"/>
    <col min="13833" max="13833" width="9.5703125" style="131" bestFit="1" customWidth="1"/>
    <col min="13834" max="13834" width="17.5703125" style="131" customWidth="1"/>
    <col min="13835" max="13835" width="16.28515625" style="131" customWidth="1"/>
    <col min="13836" max="13836" width="9.140625" style="131"/>
    <col min="13837" max="13837" width="9.140625" style="131" customWidth="1"/>
    <col min="13838" max="14084" width="9.140625" style="131"/>
    <col min="14085" max="14085" width="4.42578125" style="131" customWidth="1"/>
    <col min="14086" max="14086" width="24.28515625" style="131" customWidth="1"/>
    <col min="14087" max="14087" width="12" style="131" customWidth="1"/>
    <col min="14088" max="14088" width="10.5703125" style="131" customWidth="1"/>
    <col min="14089" max="14089" width="9.5703125" style="131" bestFit="1" customWidth="1"/>
    <col min="14090" max="14090" width="17.5703125" style="131" customWidth="1"/>
    <col min="14091" max="14091" width="16.28515625" style="131" customWidth="1"/>
    <col min="14092" max="14092" width="9.140625" style="131"/>
    <col min="14093" max="14093" width="9.140625" style="131" customWidth="1"/>
    <col min="14094" max="14340" width="9.140625" style="131"/>
    <col min="14341" max="14341" width="4.42578125" style="131" customWidth="1"/>
    <col min="14342" max="14342" width="24.28515625" style="131" customWidth="1"/>
    <col min="14343" max="14343" width="12" style="131" customWidth="1"/>
    <col min="14344" max="14344" width="10.5703125" style="131" customWidth="1"/>
    <col min="14345" max="14345" width="9.5703125" style="131" bestFit="1" customWidth="1"/>
    <col min="14346" max="14346" width="17.5703125" style="131" customWidth="1"/>
    <col min="14347" max="14347" width="16.28515625" style="131" customWidth="1"/>
    <col min="14348" max="14348" width="9.140625" style="131"/>
    <col min="14349" max="14349" width="9.140625" style="131" customWidth="1"/>
    <col min="14350" max="14596" width="9.140625" style="131"/>
    <col min="14597" max="14597" width="4.42578125" style="131" customWidth="1"/>
    <col min="14598" max="14598" width="24.28515625" style="131" customWidth="1"/>
    <col min="14599" max="14599" width="12" style="131" customWidth="1"/>
    <col min="14600" max="14600" width="10.5703125" style="131" customWidth="1"/>
    <col min="14601" max="14601" width="9.5703125" style="131" bestFit="1" customWidth="1"/>
    <col min="14602" max="14602" width="17.5703125" style="131" customWidth="1"/>
    <col min="14603" max="14603" width="16.28515625" style="131" customWidth="1"/>
    <col min="14604" max="14604" width="9.140625" style="131"/>
    <col min="14605" max="14605" width="9.140625" style="131" customWidth="1"/>
    <col min="14606" max="14852" width="9.140625" style="131"/>
    <col min="14853" max="14853" width="4.42578125" style="131" customWidth="1"/>
    <col min="14854" max="14854" width="24.28515625" style="131" customWidth="1"/>
    <col min="14855" max="14855" width="12" style="131" customWidth="1"/>
    <col min="14856" max="14856" width="10.5703125" style="131" customWidth="1"/>
    <col min="14857" max="14857" width="9.5703125" style="131" bestFit="1" customWidth="1"/>
    <col min="14858" max="14858" width="17.5703125" style="131" customWidth="1"/>
    <col min="14859" max="14859" width="16.28515625" style="131" customWidth="1"/>
    <col min="14860" max="14860" width="9.140625" style="131"/>
    <col min="14861" max="14861" width="9.140625" style="131" customWidth="1"/>
    <col min="14862" max="15108" width="9.140625" style="131"/>
    <col min="15109" max="15109" width="4.42578125" style="131" customWidth="1"/>
    <col min="15110" max="15110" width="24.28515625" style="131" customWidth="1"/>
    <col min="15111" max="15111" width="12" style="131" customWidth="1"/>
    <col min="15112" max="15112" width="10.5703125" style="131" customWidth="1"/>
    <col min="15113" max="15113" width="9.5703125" style="131" bestFit="1" customWidth="1"/>
    <col min="15114" max="15114" width="17.5703125" style="131" customWidth="1"/>
    <col min="15115" max="15115" width="16.28515625" style="131" customWidth="1"/>
    <col min="15116" max="15116" width="9.140625" style="131"/>
    <col min="15117" max="15117" width="9.140625" style="131" customWidth="1"/>
    <col min="15118" max="15364" width="9.140625" style="131"/>
    <col min="15365" max="15365" width="4.42578125" style="131" customWidth="1"/>
    <col min="15366" max="15366" width="24.28515625" style="131" customWidth="1"/>
    <col min="15367" max="15367" width="12" style="131" customWidth="1"/>
    <col min="15368" max="15368" width="10.5703125" style="131" customWidth="1"/>
    <col min="15369" max="15369" width="9.5703125" style="131" bestFit="1" customWidth="1"/>
    <col min="15370" max="15370" width="17.5703125" style="131" customWidth="1"/>
    <col min="15371" max="15371" width="16.28515625" style="131" customWidth="1"/>
    <col min="15372" max="15372" width="9.140625" style="131"/>
    <col min="15373" max="15373" width="9.140625" style="131" customWidth="1"/>
    <col min="15374" max="15620" width="9.140625" style="131"/>
    <col min="15621" max="15621" width="4.42578125" style="131" customWidth="1"/>
    <col min="15622" max="15622" width="24.28515625" style="131" customWidth="1"/>
    <col min="15623" max="15623" width="12" style="131" customWidth="1"/>
    <col min="15624" max="15624" width="10.5703125" style="131" customWidth="1"/>
    <col min="15625" max="15625" width="9.5703125" style="131" bestFit="1" customWidth="1"/>
    <col min="15626" max="15626" width="17.5703125" style="131" customWidth="1"/>
    <col min="15627" max="15627" width="16.28515625" style="131" customWidth="1"/>
    <col min="15628" max="15628" width="9.140625" style="131"/>
    <col min="15629" max="15629" width="9.140625" style="131" customWidth="1"/>
    <col min="15630" max="15876" width="9.140625" style="131"/>
    <col min="15877" max="15877" width="4.42578125" style="131" customWidth="1"/>
    <col min="15878" max="15878" width="24.28515625" style="131" customWidth="1"/>
    <col min="15879" max="15879" width="12" style="131" customWidth="1"/>
    <col min="15880" max="15880" width="10.5703125" style="131" customWidth="1"/>
    <col min="15881" max="15881" width="9.5703125" style="131" bestFit="1" customWidth="1"/>
    <col min="15882" max="15882" width="17.5703125" style="131" customWidth="1"/>
    <col min="15883" max="15883" width="16.28515625" style="131" customWidth="1"/>
    <col min="15884" max="15884" width="9.140625" style="131"/>
    <col min="15885" max="15885" width="9.140625" style="131" customWidth="1"/>
    <col min="15886" max="16132" width="9.140625" style="131"/>
    <col min="16133" max="16133" width="4.42578125" style="131" customWidth="1"/>
    <col min="16134" max="16134" width="24.28515625" style="131" customWidth="1"/>
    <col min="16135" max="16135" width="12" style="131" customWidth="1"/>
    <col min="16136" max="16136" width="10.5703125" style="131" customWidth="1"/>
    <col min="16137" max="16137" width="9.5703125" style="131" bestFit="1" customWidth="1"/>
    <col min="16138" max="16138" width="17.5703125" style="131" customWidth="1"/>
    <col min="16139" max="16139" width="16.28515625" style="131" customWidth="1"/>
    <col min="16140" max="16140" width="9.140625" style="131"/>
    <col min="16141" max="16141" width="9.140625" style="131" customWidth="1"/>
    <col min="16142" max="16384" width="9.140625" style="131"/>
  </cols>
  <sheetData>
    <row r="1" spans="1:19" s="125" customFormat="1" ht="15">
      <c r="A1" s="123" t="s">
        <v>225</v>
      </c>
      <c r="B1" s="123"/>
      <c r="C1" s="123"/>
      <c r="D1" s="123"/>
      <c r="E1" s="123"/>
      <c r="F1" s="123"/>
      <c r="G1" s="123"/>
      <c r="H1" s="123"/>
      <c r="I1" s="123"/>
      <c r="J1" s="123"/>
      <c r="K1" s="123"/>
      <c r="L1" s="123"/>
      <c r="M1" s="123"/>
      <c r="N1" s="124"/>
    </row>
    <row r="2" spans="1:19" s="125" customFormat="1" ht="15">
      <c r="A2" s="426" t="s">
        <v>358</v>
      </c>
      <c r="B2" s="426"/>
      <c r="C2" s="426"/>
      <c r="D2" s="426"/>
      <c r="E2" s="426"/>
      <c r="F2" s="426"/>
      <c r="G2" s="426"/>
      <c r="H2" s="426"/>
      <c r="I2" s="426"/>
      <c r="J2" s="426"/>
      <c r="K2" s="123"/>
      <c r="L2" s="123"/>
      <c r="M2" s="123"/>
      <c r="N2" s="124"/>
    </row>
    <row r="3" spans="1:19" s="126" customFormat="1" ht="25.5" customHeight="1">
      <c r="A3" s="501" t="s">
        <v>217</v>
      </c>
      <c r="B3" s="501" t="s">
        <v>184</v>
      </c>
      <c r="C3" s="501" t="s">
        <v>226</v>
      </c>
      <c r="D3" s="501"/>
      <c r="E3" s="502" t="s">
        <v>136</v>
      </c>
      <c r="F3" s="503"/>
      <c r="G3" s="503"/>
      <c r="H3" s="503"/>
      <c r="I3" s="504"/>
      <c r="J3" s="502" t="s">
        <v>134</v>
      </c>
      <c r="K3" s="503"/>
      <c r="L3" s="503"/>
      <c r="M3" s="504"/>
      <c r="N3" s="501" t="s">
        <v>118</v>
      </c>
    </row>
    <row r="4" spans="1:19" s="129" customFormat="1" ht="99.75">
      <c r="A4" s="501"/>
      <c r="B4" s="501"/>
      <c r="C4" s="127" t="s">
        <v>227</v>
      </c>
      <c r="D4" s="127" t="s">
        <v>228</v>
      </c>
      <c r="E4" s="127" t="s">
        <v>229</v>
      </c>
      <c r="F4" s="127" t="s">
        <v>230</v>
      </c>
      <c r="G4" s="128" t="s">
        <v>122</v>
      </c>
      <c r="H4" s="128" t="s">
        <v>123</v>
      </c>
      <c r="I4" s="128" t="s">
        <v>124</v>
      </c>
      <c r="J4" s="127" t="s">
        <v>231</v>
      </c>
      <c r="K4" s="127" t="s">
        <v>232</v>
      </c>
      <c r="L4" s="127" t="s">
        <v>204</v>
      </c>
      <c r="M4" s="127" t="s">
        <v>233</v>
      </c>
      <c r="N4" s="501"/>
    </row>
    <row r="5" spans="1:19" s="129" customFormat="1" ht="28.5">
      <c r="A5" s="118"/>
      <c r="B5" s="118"/>
      <c r="C5" s="118"/>
      <c r="D5" s="118"/>
      <c r="E5" s="118"/>
      <c r="F5" s="118"/>
      <c r="G5" s="130"/>
      <c r="H5" s="130"/>
      <c r="I5" s="130"/>
      <c r="J5" s="130" t="s">
        <v>14</v>
      </c>
      <c r="K5" s="130" t="s">
        <v>15</v>
      </c>
      <c r="L5" s="130" t="s">
        <v>224</v>
      </c>
      <c r="M5" s="118"/>
      <c r="N5" s="118"/>
      <c r="O5" s="131"/>
      <c r="P5" s="131"/>
      <c r="Q5" s="131"/>
      <c r="R5" s="131"/>
      <c r="S5" s="131"/>
    </row>
    <row r="6" spans="1:19" s="133" customFormat="1" ht="90">
      <c r="A6" s="120"/>
      <c r="B6" s="121" t="s">
        <v>138</v>
      </c>
      <c r="C6" s="120"/>
      <c r="D6" s="105"/>
      <c r="E6" s="132"/>
      <c r="F6" s="132"/>
      <c r="G6" s="132"/>
      <c r="H6" s="132"/>
      <c r="I6" s="132"/>
      <c r="J6" s="132"/>
      <c r="K6" s="132"/>
      <c r="L6" s="321">
        <f>(J6*K6)/100000</f>
        <v>0</v>
      </c>
      <c r="M6" s="132"/>
      <c r="N6" s="132"/>
      <c r="O6" s="131"/>
      <c r="P6" s="131"/>
      <c r="Q6" s="131"/>
      <c r="R6" s="131"/>
    </row>
    <row r="7" spans="1:19" s="133" customFormat="1" ht="31.5" customHeight="1">
      <c r="A7" s="120"/>
      <c r="B7" s="64" t="s">
        <v>361</v>
      </c>
      <c r="C7" s="35">
        <v>54</v>
      </c>
      <c r="D7" s="105">
        <v>30</v>
      </c>
      <c r="E7" s="134">
        <v>0</v>
      </c>
      <c r="F7" s="134">
        <v>0</v>
      </c>
      <c r="G7" s="134">
        <v>0</v>
      </c>
      <c r="H7" s="134">
        <v>0</v>
      </c>
      <c r="I7" s="134">
        <v>0</v>
      </c>
      <c r="J7" s="134">
        <f>C7*2</f>
        <v>108</v>
      </c>
      <c r="K7" s="134">
        <v>0</v>
      </c>
      <c r="L7" s="322">
        <f>J7*K7/100000</f>
        <v>0</v>
      </c>
      <c r="M7" s="238" t="s">
        <v>378</v>
      </c>
      <c r="N7" s="498"/>
      <c r="O7" s="131"/>
      <c r="P7" s="131"/>
      <c r="Q7" s="131"/>
      <c r="R7" s="131"/>
    </row>
    <row r="8" spans="1:19" s="133" customFormat="1" ht="31.5" customHeight="1">
      <c r="A8" s="120"/>
      <c r="B8" s="268" t="s">
        <v>362</v>
      </c>
      <c r="C8" s="35">
        <v>37</v>
      </c>
      <c r="D8" s="105">
        <v>32</v>
      </c>
      <c r="E8" s="134">
        <v>0</v>
      </c>
      <c r="F8" s="134">
        <v>0</v>
      </c>
      <c r="G8" s="134">
        <v>0</v>
      </c>
      <c r="H8" s="134">
        <v>0</v>
      </c>
      <c r="I8" s="134">
        <v>0</v>
      </c>
      <c r="J8" s="134">
        <f t="shared" ref="J8:J15" si="0">C8*2</f>
        <v>74</v>
      </c>
      <c r="K8" s="134">
        <v>0</v>
      </c>
      <c r="L8" s="322">
        <f t="shared" ref="L8:L15" si="1">J8*K8/100000</f>
        <v>0</v>
      </c>
      <c r="M8" s="238" t="s">
        <v>378</v>
      </c>
      <c r="N8" s="499"/>
      <c r="O8" s="131"/>
      <c r="P8" s="131"/>
      <c r="Q8" s="131"/>
      <c r="R8" s="131"/>
    </row>
    <row r="9" spans="1:19" s="133" customFormat="1" ht="31.5" customHeight="1">
      <c r="A9" s="120"/>
      <c r="B9" s="268" t="s">
        <v>363</v>
      </c>
      <c r="C9" s="35">
        <v>59</v>
      </c>
      <c r="D9" s="105">
        <v>9</v>
      </c>
      <c r="E9" s="134">
        <v>0</v>
      </c>
      <c r="F9" s="134">
        <v>0</v>
      </c>
      <c r="G9" s="134">
        <v>0</v>
      </c>
      <c r="H9" s="134">
        <v>0</v>
      </c>
      <c r="I9" s="134">
        <v>0</v>
      </c>
      <c r="J9" s="134">
        <f t="shared" si="0"/>
        <v>118</v>
      </c>
      <c r="K9" s="134">
        <v>0</v>
      </c>
      <c r="L9" s="322">
        <f t="shared" si="1"/>
        <v>0</v>
      </c>
      <c r="M9" s="238" t="s">
        <v>378</v>
      </c>
      <c r="N9" s="499"/>
      <c r="O9" s="131"/>
      <c r="P9" s="131"/>
      <c r="Q9" s="131"/>
      <c r="R9" s="131"/>
    </row>
    <row r="10" spans="1:19" s="133" customFormat="1" ht="31.5" customHeight="1">
      <c r="A10" s="120"/>
      <c r="B10" s="64" t="s">
        <v>364</v>
      </c>
      <c r="C10" s="35">
        <v>26</v>
      </c>
      <c r="D10" s="105">
        <v>5</v>
      </c>
      <c r="E10" s="134">
        <v>0</v>
      </c>
      <c r="F10" s="134">
        <v>0</v>
      </c>
      <c r="G10" s="134">
        <v>0</v>
      </c>
      <c r="H10" s="134">
        <v>0</v>
      </c>
      <c r="I10" s="134">
        <v>0</v>
      </c>
      <c r="J10" s="134">
        <f t="shared" si="0"/>
        <v>52</v>
      </c>
      <c r="K10" s="134">
        <v>0</v>
      </c>
      <c r="L10" s="322">
        <f t="shared" si="1"/>
        <v>0</v>
      </c>
      <c r="M10" s="238" t="s">
        <v>378</v>
      </c>
      <c r="N10" s="499"/>
      <c r="O10" s="131"/>
      <c r="P10" s="131"/>
      <c r="Q10" s="131"/>
      <c r="R10" s="131"/>
    </row>
    <row r="11" spans="1:19" s="133" customFormat="1" ht="31.5" customHeight="1">
      <c r="A11" s="120"/>
      <c r="B11" s="269" t="s">
        <v>365</v>
      </c>
      <c r="C11" s="35">
        <v>37</v>
      </c>
      <c r="D11" s="105">
        <v>9</v>
      </c>
      <c r="E11" s="134">
        <v>0</v>
      </c>
      <c r="F11" s="134">
        <v>0</v>
      </c>
      <c r="G11" s="134">
        <v>0</v>
      </c>
      <c r="H11" s="134">
        <v>0</v>
      </c>
      <c r="I11" s="134">
        <v>0</v>
      </c>
      <c r="J11" s="134">
        <f t="shared" si="0"/>
        <v>74</v>
      </c>
      <c r="K11" s="134">
        <v>0</v>
      </c>
      <c r="L11" s="322">
        <f t="shared" si="1"/>
        <v>0</v>
      </c>
      <c r="M11" s="238" t="s">
        <v>378</v>
      </c>
      <c r="N11" s="499"/>
      <c r="O11" s="131"/>
      <c r="P11" s="131"/>
      <c r="Q11" s="131"/>
      <c r="R11" s="131"/>
    </row>
    <row r="12" spans="1:19" s="133" customFormat="1" ht="31.5" customHeight="1">
      <c r="A12" s="120"/>
      <c r="B12" s="269" t="s">
        <v>366</v>
      </c>
      <c r="C12" s="35">
        <v>70</v>
      </c>
      <c r="D12" s="105">
        <v>14</v>
      </c>
      <c r="E12" s="134">
        <v>0</v>
      </c>
      <c r="F12" s="134">
        <v>0</v>
      </c>
      <c r="G12" s="134">
        <v>0</v>
      </c>
      <c r="H12" s="134">
        <v>0</v>
      </c>
      <c r="I12" s="134">
        <v>0</v>
      </c>
      <c r="J12" s="134">
        <f t="shared" si="0"/>
        <v>140</v>
      </c>
      <c r="K12" s="134">
        <v>0</v>
      </c>
      <c r="L12" s="322">
        <f t="shared" si="1"/>
        <v>0</v>
      </c>
      <c r="M12" s="238" t="s">
        <v>378</v>
      </c>
      <c r="N12" s="499"/>
      <c r="O12" s="131"/>
      <c r="P12" s="131"/>
      <c r="Q12" s="131"/>
      <c r="R12" s="131"/>
    </row>
    <row r="13" spans="1:19" s="133" customFormat="1" ht="31.5" customHeight="1">
      <c r="A13" s="120"/>
      <c r="B13" s="269" t="s">
        <v>367</v>
      </c>
      <c r="C13" s="35">
        <v>34</v>
      </c>
      <c r="D13" s="105">
        <v>4</v>
      </c>
      <c r="E13" s="134">
        <v>0</v>
      </c>
      <c r="F13" s="134">
        <v>0</v>
      </c>
      <c r="G13" s="134">
        <v>0</v>
      </c>
      <c r="H13" s="134">
        <v>0</v>
      </c>
      <c r="I13" s="134">
        <v>0</v>
      </c>
      <c r="J13" s="134">
        <f t="shared" si="0"/>
        <v>68</v>
      </c>
      <c r="K13" s="134">
        <v>0</v>
      </c>
      <c r="L13" s="322">
        <f t="shared" si="1"/>
        <v>0</v>
      </c>
      <c r="M13" s="238" t="s">
        <v>378</v>
      </c>
      <c r="N13" s="499"/>
      <c r="O13" s="131"/>
      <c r="P13" s="131"/>
      <c r="Q13" s="131"/>
      <c r="R13" s="131"/>
    </row>
    <row r="14" spans="1:19" s="133" customFormat="1" ht="31.5" customHeight="1">
      <c r="A14" s="120"/>
      <c r="B14" s="64" t="s">
        <v>368</v>
      </c>
      <c r="C14" s="35">
        <v>24</v>
      </c>
      <c r="D14" s="105">
        <v>6</v>
      </c>
      <c r="E14" s="134">
        <v>0</v>
      </c>
      <c r="F14" s="134">
        <v>0</v>
      </c>
      <c r="G14" s="134">
        <v>0</v>
      </c>
      <c r="H14" s="134">
        <v>0</v>
      </c>
      <c r="I14" s="134">
        <v>0</v>
      </c>
      <c r="J14" s="134">
        <f t="shared" si="0"/>
        <v>48</v>
      </c>
      <c r="K14" s="134">
        <v>0</v>
      </c>
      <c r="L14" s="322">
        <f t="shared" si="1"/>
        <v>0</v>
      </c>
      <c r="M14" s="238" t="s">
        <v>378</v>
      </c>
      <c r="N14" s="499"/>
      <c r="O14" s="131"/>
      <c r="P14" s="131"/>
      <c r="Q14" s="131"/>
      <c r="R14" s="131"/>
    </row>
    <row r="15" spans="1:19" s="133" customFormat="1" ht="31.5" customHeight="1">
      <c r="A15" s="120"/>
      <c r="B15" s="122" t="s">
        <v>369</v>
      </c>
      <c r="C15" s="35">
        <v>27</v>
      </c>
      <c r="D15" s="105">
        <v>4</v>
      </c>
      <c r="E15" s="134">
        <v>0</v>
      </c>
      <c r="F15" s="134">
        <v>0</v>
      </c>
      <c r="G15" s="134">
        <v>0</v>
      </c>
      <c r="H15" s="134">
        <v>0</v>
      </c>
      <c r="I15" s="134">
        <v>0</v>
      </c>
      <c r="J15" s="134">
        <f t="shared" si="0"/>
        <v>54</v>
      </c>
      <c r="K15" s="134">
        <v>0</v>
      </c>
      <c r="L15" s="322">
        <f t="shared" si="1"/>
        <v>0</v>
      </c>
      <c r="M15" s="238" t="s">
        <v>378</v>
      </c>
      <c r="N15" s="500"/>
      <c r="O15" s="131"/>
      <c r="P15" s="131"/>
      <c r="Q15" s="131"/>
      <c r="R15" s="131"/>
    </row>
    <row r="16" spans="1:19" s="133" customFormat="1" ht="15">
      <c r="A16" s="135"/>
      <c r="B16" s="135" t="s">
        <v>86</v>
      </c>
      <c r="C16" s="137">
        <f>SUM(C6:C15)</f>
        <v>368</v>
      </c>
      <c r="D16" s="137">
        <f>SUM(D6:D15)</f>
        <v>113</v>
      </c>
      <c r="E16" s="137">
        <f>SUM(E6:E15)</f>
        <v>0</v>
      </c>
      <c r="F16" s="202"/>
      <c r="G16" s="137">
        <f>SUM(G6:G15)</f>
        <v>0</v>
      </c>
      <c r="H16" s="137">
        <f>SUM(H6:H15)</f>
        <v>0</v>
      </c>
      <c r="I16" s="137">
        <f>SUM(I6:I15)</f>
        <v>0</v>
      </c>
      <c r="J16" s="137">
        <f>SUM(J6:J15)</f>
        <v>736</v>
      </c>
      <c r="K16" s="202"/>
      <c r="L16" s="323">
        <f>SUM(L6:L15)</f>
        <v>0</v>
      </c>
      <c r="M16" s="202"/>
      <c r="N16" s="202"/>
      <c r="O16" s="131"/>
      <c r="P16" s="131"/>
      <c r="Q16" s="131"/>
      <c r="R16" s="131"/>
    </row>
  </sheetData>
  <mergeCells count="8">
    <mergeCell ref="N7:N15"/>
    <mergeCell ref="A2:J2"/>
    <mergeCell ref="N3:N4"/>
    <mergeCell ref="A3:A4"/>
    <mergeCell ref="B3:B4"/>
    <mergeCell ref="C3:D3"/>
    <mergeCell ref="E3:I3"/>
    <mergeCell ref="J3:M3"/>
  </mergeCells>
  <pageMargins left="0.7" right="0.7" top="0.75" bottom="0.75" header="0.3" footer="0.3"/>
  <pageSetup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15"/>
  <sheetViews>
    <sheetView showGridLines="0" workbookViewId="0">
      <selection activeCell="P15" sqref="P15"/>
    </sheetView>
  </sheetViews>
  <sheetFormatPr defaultColWidth="9.140625" defaultRowHeight="12.75"/>
  <cols>
    <col min="1" max="1" width="7.140625" style="30" customWidth="1"/>
    <col min="2" max="2" width="18.42578125" style="30" customWidth="1"/>
    <col min="3" max="3" width="11.7109375" style="30" customWidth="1"/>
    <col min="4" max="5" width="10.140625" style="30" bestFit="1" customWidth="1"/>
    <col min="6" max="6" width="11.85546875" style="30" customWidth="1"/>
    <col min="7" max="7" width="8.140625" style="30" bestFit="1" customWidth="1"/>
    <col min="8" max="8" width="12.28515625" style="30" customWidth="1"/>
    <col min="9" max="9" width="10.5703125" style="30" bestFit="1" customWidth="1"/>
    <col min="10" max="10" width="11.140625" style="30" customWidth="1"/>
    <col min="11" max="11" width="23.140625" style="30" customWidth="1"/>
    <col min="12" max="12" width="12.140625" style="30" customWidth="1"/>
    <col min="13" max="15" width="9.140625" style="30"/>
    <col min="16" max="16" width="27" style="30" customWidth="1"/>
    <col min="17" max="17" width="33.85546875" style="30" customWidth="1"/>
    <col min="18" max="16384" width="9.140625" style="30"/>
  </cols>
  <sheetData>
    <row r="1" spans="1:16" customFormat="1" ht="24.75" customHeight="1">
      <c r="A1" s="112" t="s">
        <v>234</v>
      </c>
      <c r="B1" s="112" t="s">
        <v>234</v>
      </c>
      <c r="C1" s="112"/>
      <c r="D1" s="112"/>
      <c r="E1" s="112"/>
      <c r="F1" s="112"/>
      <c r="G1" s="112"/>
      <c r="H1" s="112"/>
      <c r="I1" s="112"/>
      <c r="J1" s="112"/>
      <c r="K1" s="112"/>
      <c r="L1" s="112"/>
      <c r="M1" s="112"/>
      <c r="N1" s="112"/>
      <c r="O1" s="112"/>
      <c r="P1" s="113"/>
    </row>
    <row r="2" spans="1:16" customFormat="1" ht="15">
      <c r="A2" s="426" t="s">
        <v>358</v>
      </c>
      <c r="B2" s="426"/>
      <c r="C2" s="426"/>
      <c r="D2" s="426"/>
      <c r="E2" s="426"/>
      <c r="F2" s="426"/>
      <c r="G2" s="426"/>
      <c r="H2" s="426"/>
      <c r="I2" s="426"/>
      <c r="J2" s="426"/>
      <c r="K2" s="112"/>
      <c r="L2" s="112"/>
      <c r="M2" s="112"/>
      <c r="N2" s="112"/>
      <c r="O2" s="112"/>
      <c r="P2" s="113"/>
    </row>
    <row r="3" spans="1:16" s="115" customFormat="1" ht="15" customHeight="1">
      <c r="A3" s="491" t="s">
        <v>0</v>
      </c>
      <c r="B3" s="505" t="s">
        <v>184</v>
      </c>
      <c r="C3" s="492" t="s">
        <v>226</v>
      </c>
      <c r="D3" s="493"/>
      <c r="E3" s="494"/>
      <c r="F3" s="492" t="s">
        <v>136</v>
      </c>
      <c r="G3" s="493"/>
      <c r="H3" s="493"/>
      <c r="I3" s="493"/>
      <c r="J3" s="493"/>
      <c r="K3" s="492" t="s">
        <v>134</v>
      </c>
      <c r="L3" s="493"/>
      <c r="M3" s="493"/>
      <c r="N3" s="493"/>
      <c r="O3" s="494"/>
      <c r="P3" s="407" t="s">
        <v>118</v>
      </c>
    </row>
    <row r="4" spans="1:16" s="2" customFormat="1" ht="63.75">
      <c r="A4" s="491"/>
      <c r="B4" s="506"/>
      <c r="C4" s="116" t="s">
        <v>235</v>
      </c>
      <c r="D4" s="116" t="s">
        <v>236</v>
      </c>
      <c r="E4" s="116" t="s">
        <v>237</v>
      </c>
      <c r="F4" s="116" t="s">
        <v>238</v>
      </c>
      <c r="G4" s="116" t="s">
        <v>239</v>
      </c>
      <c r="H4" s="365" t="s">
        <v>122</v>
      </c>
      <c r="I4" s="365" t="s">
        <v>123</v>
      </c>
      <c r="J4" s="365" t="s">
        <v>124</v>
      </c>
      <c r="K4" s="116" t="s">
        <v>240</v>
      </c>
      <c r="L4" s="116" t="s">
        <v>418</v>
      </c>
      <c r="M4" s="116" t="s">
        <v>419</v>
      </c>
      <c r="N4" s="116" t="s">
        <v>241</v>
      </c>
      <c r="O4" s="138" t="s">
        <v>204</v>
      </c>
      <c r="P4" s="407"/>
    </row>
    <row r="5" spans="1:16" s="2" customFormat="1" ht="25.5">
      <c r="A5" s="117"/>
      <c r="B5" s="117"/>
      <c r="C5" s="117"/>
      <c r="D5" s="118"/>
      <c r="E5" s="118"/>
      <c r="F5" s="119"/>
      <c r="G5" s="119"/>
      <c r="H5" s="119"/>
      <c r="I5" s="119"/>
      <c r="J5" s="119"/>
      <c r="K5" s="118" t="s">
        <v>14</v>
      </c>
      <c r="L5" s="119" t="s">
        <v>15</v>
      </c>
      <c r="M5" s="119" t="s">
        <v>16</v>
      </c>
      <c r="N5" s="119" t="s">
        <v>147</v>
      </c>
      <c r="O5" s="119" t="s">
        <v>420</v>
      </c>
      <c r="P5" s="119"/>
    </row>
    <row r="6" spans="1:16" ht="35.1" customHeight="1">
      <c r="A6" s="263">
        <v>1</v>
      </c>
      <c r="B6" s="64" t="s">
        <v>361</v>
      </c>
      <c r="C6" s="304">
        <v>4</v>
      </c>
      <c r="D6" s="340">
        <v>115</v>
      </c>
      <c r="E6" s="340">
        <v>169</v>
      </c>
      <c r="F6" s="340">
        <v>39400</v>
      </c>
      <c r="G6" s="340">
        <v>2</v>
      </c>
      <c r="H6" s="234">
        <f>G6*F6/100000</f>
        <v>0.78800000000000003</v>
      </c>
      <c r="I6" s="340">
        <v>0.78800000000000003</v>
      </c>
      <c r="J6" s="340">
        <v>0</v>
      </c>
      <c r="K6" s="340">
        <v>4988</v>
      </c>
      <c r="L6" s="340">
        <v>39400</v>
      </c>
      <c r="M6" s="340">
        <v>10</v>
      </c>
      <c r="N6" s="340">
        <v>3</v>
      </c>
      <c r="O6" s="224">
        <f>(L6*N6)/100000</f>
        <v>1.1819999999999999</v>
      </c>
      <c r="P6" s="429" t="s">
        <v>452</v>
      </c>
    </row>
    <row r="7" spans="1:16" ht="35.1" customHeight="1">
      <c r="A7" s="263">
        <v>2</v>
      </c>
      <c r="B7" s="268" t="s">
        <v>362</v>
      </c>
      <c r="C7" s="304">
        <v>3</v>
      </c>
      <c r="D7" s="340">
        <v>84</v>
      </c>
      <c r="E7" s="340">
        <v>122</v>
      </c>
      <c r="F7" s="340">
        <v>21200</v>
      </c>
      <c r="G7" s="340">
        <v>2</v>
      </c>
      <c r="H7" s="234">
        <f t="shared" ref="H7:H14" si="0">G7*F7/100000</f>
        <v>0.42399999999999999</v>
      </c>
      <c r="I7" s="340">
        <v>0.42399999999999999</v>
      </c>
      <c r="J7" s="340">
        <v>0</v>
      </c>
      <c r="K7" s="340">
        <v>3864</v>
      </c>
      <c r="L7" s="340">
        <v>21200</v>
      </c>
      <c r="M7" s="340">
        <v>10</v>
      </c>
      <c r="N7" s="340">
        <v>3</v>
      </c>
      <c r="O7" s="224">
        <f t="shared" ref="O7:O14" si="1">(L7*N7)/100000</f>
        <v>0.63600000000000001</v>
      </c>
      <c r="P7" s="430"/>
    </row>
    <row r="8" spans="1:16" ht="35.1" customHeight="1">
      <c r="A8" s="263">
        <v>3</v>
      </c>
      <c r="B8" s="268" t="s">
        <v>363</v>
      </c>
      <c r="C8" s="304">
        <v>6</v>
      </c>
      <c r="D8" s="340">
        <v>102</v>
      </c>
      <c r="E8" s="340">
        <v>132</v>
      </c>
      <c r="F8" s="340">
        <v>19156</v>
      </c>
      <c r="G8" s="340">
        <v>2</v>
      </c>
      <c r="H8" s="234">
        <f t="shared" si="0"/>
        <v>0.38312000000000002</v>
      </c>
      <c r="I8" s="340">
        <v>0.38312000000000002</v>
      </c>
      <c r="J8" s="340">
        <v>0</v>
      </c>
      <c r="K8" s="340">
        <v>2827</v>
      </c>
      <c r="L8" s="340">
        <v>19100</v>
      </c>
      <c r="M8" s="340">
        <v>10</v>
      </c>
      <c r="N8" s="340">
        <v>3</v>
      </c>
      <c r="O8" s="224">
        <f t="shared" si="1"/>
        <v>0.57299999999999995</v>
      </c>
      <c r="P8" s="430"/>
    </row>
    <row r="9" spans="1:16" ht="35.1" customHeight="1">
      <c r="A9" s="263">
        <v>4</v>
      </c>
      <c r="B9" s="64" t="s">
        <v>364</v>
      </c>
      <c r="C9" s="304">
        <v>3</v>
      </c>
      <c r="D9" s="340">
        <v>51</v>
      </c>
      <c r="E9" s="340">
        <v>87</v>
      </c>
      <c r="F9" s="340">
        <v>11050</v>
      </c>
      <c r="G9" s="340">
        <v>2</v>
      </c>
      <c r="H9" s="234">
        <f t="shared" si="0"/>
        <v>0.221</v>
      </c>
      <c r="I9" s="340">
        <v>0.221</v>
      </c>
      <c r="J9" s="340">
        <v>0</v>
      </c>
      <c r="K9" s="340">
        <v>2015</v>
      </c>
      <c r="L9" s="340">
        <v>11050</v>
      </c>
      <c r="M9" s="340">
        <v>10</v>
      </c>
      <c r="N9" s="340">
        <v>3</v>
      </c>
      <c r="O9" s="224">
        <f t="shared" si="1"/>
        <v>0.33150000000000002</v>
      </c>
      <c r="P9" s="430"/>
    </row>
    <row r="10" spans="1:16" ht="35.1" customHeight="1">
      <c r="A10" s="263">
        <v>5</v>
      </c>
      <c r="B10" s="269" t="s">
        <v>365</v>
      </c>
      <c r="C10" s="304">
        <v>4</v>
      </c>
      <c r="D10" s="340">
        <v>167</v>
      </c>
      <c r="E10" s="340">
        <v>178</v>
      </c>
      <c r="F10" s="340">
        <v>19900</v>
      </c>
      <c r="G10" s="340">
        <v>2</v>
      </c>
      <c r="H10" s="234">
        <f t="shared" si="0"/>
        <v>0.39800000000000002</v>
      </c>
      <c r="I10" s="340">
        <v>0.39800000000000002</v>
      </c>
      <c r="J10" s="340">
        <v>0</v>
      </c>
      <c r="K10" s="340">
        <v>3075</v>
      </c>
      <c r="L10" s="340">
        <v>19900</v>
      </c>
      <c r="M10" s="340">
        <v>10</v>
      </c>
      <c r="N10" s="340">
        <v>3</v>
      </c>
      <c r="O10" s="224">
        <f t="shared" si="1"/>
        <v>0.59699999999999998</v>
      </c>
      <c r="P10" s="430"/>
    </row>
    <row r="11" spans="1:16" ht="35.1" customHeight="1">
      <c r="A11" s="263">
        <v>6</v>
      </c>
      <c r="B11" s="269" t="s">
        <v>366</v>
      </c>
      <c r="C11" s="304">
        <v>4</v>
      </c>
      <c r="D11" s="340">
        <v>122</v>
      </c>
      <c r="E11" s="340">
        <v>194</v>
      </c>
      <c r="F11" s="340">
        <v>24300</v>
      </c>
      <c r="G11" s="340">
        <v>2</v>
      </c>
      <c r="H11" s="234">
        <f t="shared" si="0"/>
        <v>0.48599999999999999</v>
      </c>
      <c r="I11" s="340">
        <v>0.48599999999999999</v>
      </c>
      <c r="J11" s="340">
        <v>0</v>
      </c>
      <c r="K11" s="340">
        <v>3021</v>
      </c>
      <c r="L11" s="340">
        <v>24300</v>
      </c>
      <c r="M11" s="340">
        <v>10</v>
      </c>
      <c r="N11" s="340">
        <v>3</v>
      </c>
      <c r="O11" s="224">
        <f t="shared" si="1"/>
        <v>0.72899999999999998</v>
      </c>
      <c r="P11" s="430"/>
    </row>
    <row r="12" spans="1:16" ht="35.1" customHeight="1">
      <c r="A12" s="263">
        <v>7</v>
      </c>
      <c r="B12" s="269" t="s">
        <v>367</v>
      </c>
      <c r="C12" s="304">
        <v>3</v>
      </c>
      <c r="D12" s="340">
        <v>66</v>
      </c>
      <c r="E12" s="340">
        <v>69</v>
      </c>
      <c r="F12" s="340">
        <v>11150</v>
      </c>
      <c r="G12" s="340">
        <v>2</v>
      </c>
      <c r="H12" s="234">
        <f t="shared" si="0"/>
        <v>0.223</v>
      </c>
      <c r="I12" s="340">
        <v>0.223</v>
      </c>
      <c r="J12" s="340">
        <v>0</v>
      </c>
      <c r="K12" s="340">
        <v>2103</v>
      </c>
      <c r="L12" s="340">
        <v>11050</v>
      </c>
      <c r="M12" s="340">
        <v>10</v>
      </c>
      <c r="N12" s="340">
        <v>3</v>
      </c>
      <c r="O12" s="224">
        <f t="shared" si="1"/>
        <v>0.33150000000000002</v>
      </c>
      <c r="P12" s="430"/>
    </row>
    <row r="13" spans="1:16" ht="35.1" customHeight="1">
      <c r="A13" s="263">
        <v>8</v>
      </c>
      <c r="B13" s="64" t="s">
        <v>368</v>
      </c>
      <c r="C13" s="304">
        <v>2</v>
      </c>
      <c r="D13" s="340">
        <v>47</v>
      </c>
      <c r="E13" s="340">
        <v>76</v>
      </c>
      <c r="F13" s="340">
        <v>10950</v>
      </c>
      <c r="G13" s="340">
        <v>2</v>
      </c>
      <c r="H13" s="234">
        <f t="shared" si="0"/>
        <v>0.219</v>
      </c>
      <c r="I13" s="340">
        <v>0.219</v>
      </c>
      <c r="J13" s="340">
        <v>0</v>
      </c>
      <c r="K13" s="340">
        <v>1539</v>
      </c>
      <c r="L13" s="340">
        <v>10950</v>
      </c>
      <c r="M13" s="340">
        <v>10</v>
      </c>
      <c r="N13" s="340">
        <v>3</v>
      </c>
      <c r="O13" s="224">
        <f t="shared" si="1"/>
        <v>0.32850000000000001</v>
      </c>
      <c r="P13" s="430"/>
    </row>
    <row r="14" spans="1:16" ht="35.1" customHeight="1">
      <c r="A14" s="263">
        <v>9</v>
      </c>
      <c r="B14" s="122" t="s">
        <v>369</v>
      </c>
      <c r="C14" s="304">
        <v>3</v>
      </c>
      <c r="D14" s="340">
        <v>76</v>
      </c>
      <c r="E14" s="340">
        <v>64</v>
      </c>
      <c r="F14" s="340">
        <v>11050</v>
      </c>
      <c r="G14" s="340">
        <v>2</v>
      </c>
      <c r="H14" s="234">
        <f t="shared" si="0"/>
        <v>0.221</v>
      </c>
      <c r="I14" s="340">
        <v>0.221</v>
      </c>
      <c r="J14" s="340">
        <v>0</v>
      </c>
      <c r="K14" s="340">
        <v>1227</v>
      </c>
      <c r="L14" s="340">
        <v>11050</v>
      </c>
      <c r="M14" s="340">
        <v>10</v>
      </c>
      <c r="N14" s="340">
        <v>3</v>
      </c>
      <c r="O14" s="224">
        <f t="shared" si="1"/>
        <v>0.33150000000000002</v>
      </c>
      <c r="P14" s="431"/>
    </row>
    <row r="15" spans="1:16" ht="35.1" customHeight="1">
      <c r="A15" s="52"/>
      <c r="B15" s="52" t="s">
        <v>86</v>
      </c>
      <c r="C15" s="95">
        <f>SUM(C6:C14)</f>
        <v>32</v>
      </c>
      <c r="D15" s="95">
        <f>SUM(D6:D14)</f>
        <v>830</v>
      </c>
      <c r="E15" s="95">
        <f>SUM(E6:E14)</f>
        <v>1091</v>
      </c>
      <c r="F15" s="95">
        <f>SUM(F6:F14)</f>
        <v>168156</v>
      </c>
      <c r="G15" s="199"/>
      <c r="H15" s="237">
        <f>SUM(H6:H14)</f>
        <v>3.3631199999999999</v>
      </c>
      <c r="I15" s="95">
        <v>3.3631199999999999</v>
      </c>
      <c r="J15" s="95">
        <f>SUM(J6:J14)</f>
        <v>0</v>
      </c>
      <c r="K15" s="59">
        <f>SUM(K6:K14)</f>
        <v>24659</v>
      </c>
      <c r="L15" s="95">
        <f>SUM(L6:L14)</f>
        <v>168000</v>
      </c>
      <c r="M15" s="95"/>
      <c r="N15" s="200"/>
      <c r="O15" s="59">
        <f>SUM(O6:O14)</f>
        <v>5.04</v>
      </c>
      <c r="P15" s="200"/>
    </row>
  </sheetData>
  <mergeCells count="8">
    <mergeCell ref="K3:O3"/>
    <mergeCell ref="P3:P4"/>
    <mergeCell ref="P6:P14"/>
    <mergeCell ref="A2:J2"/>
    <mergeCell ref="A3:A4"/>
    <mergeCell ref="B3:B4"/>
    <mergeCell ref="C3:E3"/>
    <mergeCell ref="F3:J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20"/>
  <sheetViews>
    <sheetView showGridLines="0" topLeftCell="X4" zoomScale="80" zoomScaleNormal="80" zoomScaleSheetLayoutView="100" workbookViewId="0">
      <selection activeCell="AO24" sqref="AO24"/>
    </sheetView>
  </sheetViews>
  <sheetFormatPr defaultRowHeight="15"/>
  <cols>
    <col min="1" max="1" width="7.28515625" customWidth="1"/>
    <col min="2" max="2" width="25.42578125" customWidth="1"/>
    <col min="3" max="5" width="8.28515625" customWidth="1"/>
    <col min="6" max="6" width="9.42578125" customWidth="1"/>
    <col min="7" max="7" width="8.28515625" customWidth="1"/>
    <col min="8" max="8" width="12.28515625" customWidth="1"/>
    <col min="9" max="9" width="11.7109375" customWidth="1"/>
    <col min="10" max="11" width="13.85546875" customWidth="1"/>
    <col min="12" max="12" width="13" customWidth="1"/>
    <col min="13" max="13" width="9" customWidth="1"/>
    <col min="14" max="14" width="16.42578125" customWidth="1"/>
    <col min="15" max="15" width="9" customWidth="1"/>
    <col min="16" max="16" width="12.42578125" customWidth="1"/>
    <col min="17" max="17" width="9" customWidth="1"/>
    <col min="18" max="18" width="12.42578125" customWidth="1"/>
    <col min="19" max="19" width="14.7109375" customWidth="1"/>
    <col min="20" max="20" width="10.28515625" customWidth="1"/>
    <col min="21" max="21" width="15.5703125" customWidth="1"/>
    <col min="22" max="22" width="13.28515625" customWidth="1"/>
    <col min="23" max="23" width="15.85546875" customWidth="1"/>
    <col min="24" max="24" width="11.28515625" customWidth="1"/>
    <col min="25" max="25" width="16.140625" customWidth="1"/>
    <col min="26" max="26" width="11.7109375" customWidth="1"/>
    <col min="27" max="27" width="16" customWidth="1"/>
    <col min="28" max="28" width="9" customWidth="1"/>
    <col min="29" max="29" width="12.42578125" customWidth="1"/>
    <col min="30" max="43" width="9" customWidth="1"/>
    <col min="44" max="44" width="15" customWidth="1"/>
    <col min="45" max="45" width="24.5703125" customWidth="1"/>
    <col min="46" max="46" width="26.7109375" customWidth="1"/>
    <col min="47" max="55" width="11.7109375" customWidth="1"/>
  </cols>
  <sheetData>
    <row r="1" spans="1:46" ht="25.5" customHeight="1">
      <c r="A1" s="139" t="s">
        <v>242</v>
      </c>
      <c r="B1" s="139" t="s">
        <v>242</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0"/>
      <c r="AR1" s="140"/>
      <c r="AS1" s="140"/>
      <c r="AT1" s="141"/>
    </row>
    <row r="2" spans="1:46" ht="25.5" customHeight="1">
      <c r="A2" s="426" t="s">
        <v>358</v>
      </c>
      <c r="B2" s="426"/>
      <c r="C2" s="426"/>
      <c r="D2" s="426"/>
      <c r="E2" s="426"/>
      <c r="F2" s="426"/>
      <c r="G2" s="426"/>
      <c r="H2" s="426"/>
      <c r="I2" s="426"/>
      <c r="J2" s="426"/>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1"/>
    </row>
    <row r="3" spans="1:46" s="142" customFormat="1" ht="32.25" customHeight="1">
      <c r="A3" s="272" t="s">
        <v>0</v>
      </c>
      <c r="B3" s="273" t="s">
        <v>184</v>
      </c>
      <c r="C3" s="513" t="s">
        <v>243</v>
      </c>
      <c r="D3" s="514"/>
      <c r="E3" s="514"/>
      <c r="F3" s="514"/>
      <c r="G3" s="515"/>
      <c r="H3" s="516" t="s">
        <v>244</v>
      </c>
      <c r="I3" s="516"/>
      <c r="J3" s="516"/>
      <c r="K3" s="516"/>
      <c r="L3" s="513" t="s">
        <v>134</v>
      </c>
      <c r="M3" s="514"/>
      <c r="N3" s="514"/>
      <c r="O3" s="514"/>
      <c r="P3" s="514"/>
      <c r="Q3" s="514"/>
      <c r="R3" s="514"/>
      <c r="S3" s="514"/>
      <c r="T3" s="514"/>
      <c r="U3" s="514"/>
      <c r="V3" s="514"/>
      <c r="W3" s="514"/>
      <c r="X3" s="514"/>
      <c r="Y3" s="514"/>
      <c r="Z3" s="514"/>
      <c r="AA3" s="514"/>
      <c r="AB3" s="514"/>
      <c r="AC3" s="514"/>
      <c r="AD3" s="514"/>
      <c r="AE3" s="514"/>
      <c r="AF3" s="514"/>
      <c r="AG3" s="514"/>
      <c r="AH3" s="514"/>
      <c r="AI3" s="514"/>
      <c r="AJ3" s="514"/>
      <c r="AK3" s="514"/>
      <c r="AL3" s="514"/>
      <c r="AM3" s="514"/>
      <c r="AN3" s="514"/>
      <c r="AO3" s="514"/>
      <c r="AP3" s="514"/>
      <c r="AQ3" s="514"/>
      <c r="AR3" s="514"/>
      <c r="AS3" s="515"/>
      <c r="AT3" s="274" t="s">
        <v>118</v>
      </c>
    </row>
    <row r="4" spans="1:46" s="142" customFormat="1" ht="32.25" customHeight="1">
      <c r="A4"/>
      <c r="B4"/>
      <c r="C4" s="512" t="s">
        <v>395</v>
      </c>
      <c r="D4" s="512" t="s">
        <v>396</v>
      </c>
      <c r="E4" s="512" t="s">
        <v>247</v>
      </c>
      <c r="F4" s="512" t="s">
        <v>397</v>
      </c>
      <c r="G4" s="512" t="s">
        <v>249</v>
      </c>
      <c r="H4" s="512" t="s">
        <v>250</v>
      </c>
      <c r="I4" s="512" t="s">
        <v>251</v>
      </c>
      <c r="J4" s="512" t="s">
        <v>123</v>
      </c>
      <c r="K4" s="512" t="s">
        <v>124</v>
      </c>
      <c r="L4" s="511" t="s">
        <v>252</v>
      </c>
      <c r="M4" s="511"/>
      <c r="N4" s="511"/>
      <c r="O4" s="511"/>
      <c r="P4" s="511"/>
      <c r="Q4" s="511"/>
      <c r="R4" s="511"/>
      <c r="S4" s="511"/>
      <c r="T4" s="511"/>
      <c r="U4" s="511"/>
      <c r="V4" s="511"/>
      <c r="W4" s="511"/>
      <c r="X4" s="511"/>
      <c r="Y4" s="511"/>
      <c r="Z4" s="511"/>
      <c r="AA4" s="511"/>
      <c r="AB4" s="511" t="s">
        <v>253</v>
      </c>
      <c r="AC4" s="511"/>
      <c r="AD4" s="511"/>
      <c r="AE4" s="511"/>
      <c r="AF4" s="511"/>
      <c r="AG4" s="511"/>
      <c r="AH4" s="511"/>
      <c r="AI4" s="511"/>
      <c r="AJ4" s="511"/>
      <c r="AK4" s="511"/>
      <c r="AL4" s="511"/>
      <c r="AM4" s="511"/>
      <c r="AN4" s="511"/>
      <c r="AO4" s="511"/>
      <c r="AP4" s="511"/>
      <c r="AQ4" s="511"/>
      <c r="AR4" s="511" t="s">
        <v>254</v>
      </c>
      <c r="AS4" s="511" t="s">
        <v>255</v>
      </c>
      <c r="AT4"/>
    </row>
    <row r="5" spans="1:46" s="142" customFormat="1" ht="32.25" customHeight="1">
      <c r="A5"/>
      <c r="B5"/>
      <c r="C5" s="512"/>
      <c r="D5" s="512"/>
      <c r="E5" s="512"/>
      <c r="F5" s="512"/>
      <c r="G5" s="512"/>
      <c r="H5" s="512"/>
      <c r="I5" s="512"/>
      <c r="J5" s="512"/>
      <c r="K5" s="512"/>
      <c r="L5" s="512" t="s">
        <v>256</v>
      </c>
      <c r="M5" s="512"/>
      <c r="N5" s="512" t="s">
        <v>257</v>
      </c>
      <c r="O5" s="512"/>
      <c r="P5" s="512"/>
      <c r="Q5" s="512"/>
      <c r="R5" s="512" t="s">
        <v>258</v>
      </c>
      <c r="S5" s="512"/>
      <c r="T5" s="512"/>
      <c r="U5" s="512"/>
      <c r="V5" s="512"/>
      <c r="W5" s="512"/>
      <c r="X5" s="512"/>
      <c r="Y5" s="512"/>
      <c r="Z5" s="512"/>
      <c r="AA5" s="512"/>
      <c r="AB5" s="512" t="s">
        <v>256</v>
      </c>
      <c r="AC5" s="512"/>
      <c r="AD5" s="512" t="s">
        <v>257</v>
      </c>
      <c r="AE5" s="512"/>
      <c r="AF5" s="512"/>
      <c r="AG5" s="512"/>
      <c r="AH5" s="512" t="s">
        <v>258</v>
      </c>
      <c r="AI5" s="512"/>
      <c r="AJ5" s="512"/>
      <c r="AK5" s="512"/>
      <c r="AL5" s="512"/>
      <c r="AM5" s="512"/>
      <c r="AN5" s="512"/>
      <c r="AO5" s="512"/>
      <c r="AP5" s="512"/>
      <c r="AQ5" s="512"/>
      <c r="AR5" s="511"/>
      <c r="AS5" s="511"/>
      <c r="AT5"/>
    </row>
    <row r="6" spans="1:46" s="142" customFormat="1" ht="15.75" customHeight="1">
      <c r="A6"/>
      <c r="B6"/>
      <c r="C6" s="512"/>
      <c r="D6" s="512"/>
      <c r="E6" s="512"/>
      <c r="F6" s="512"/>
      <c r="G6" s="512"/>
      <c r="H6" s="512"/>
      <c r="I6" s="512"/>
      <c r="J6" s="512"/>
      <c r="K6" s="512"/>
      <c r="L6" s="512"/>
      <c r="M6" s="512"/>
      <c r="N6" s="512"/>
      <c r="O6" s="512"/>
      <c r="P6" s="512"/>
      <c r="Q6" s="512"/>
      <c r="R6" s="507" t="s">
        <v>249</v>
      </c>
      <c r="S6" s="507"/>
      <c r="T6" s="507" t="s">
        <v>248</v>
      </c>
      <c r="U6" s="507"/>
      <c r="V6" s="507" t="s">
        <v>247</v>
      </c>
      <c r="W6" s="507"/>
      <c r="X6" s="507" t="s">
        <v>246</v>
      </c>
      <c r="Y6" s="507"/>
      <c r="Z6" s="507" t="s">
        <v>245</v>
      </c>
      <c r="AA6" s="507"/>
      <c r="AB6" s="512"/>
      <c r="AC6" s="512"/>
      <c r="AD6" s="512"/>
      <c r="AE6" s="512"/>
      <c r="AF6" s="512"/>
      <c r="AG6" s="512"/>
      <c r="AH6" s="507" t="s">
        <v>249</v>
      </c>
      <c r="AI6" s="507"/>
      <c r="AJ6" s="507" t="s">
        <v>248</v>
      </c>
      <c r="AK6" s="507"/>
      <c r="AL6" s="507" t="s">
        <v>247</v>
      </c>
      <c r="AM6" s="507"/>
      <c r="AN6" s="507" t="s">
        <v>246</v>
      </c>
      <c r="AO6" s="507"/>
      <c r="AP6" s="507" t="s">
        <v>245</v>
      </c>
      <c r="AQ6" s="507"/>
      <c r="AR6" s="511"/>
      <c r="AS6" s="511"/>
      <c r="AT6"/>
    </row>
    <row r="7" spans="1:46" s="142" customFormat="1" ht="63">
      <c r="A7"/>
      <c r="B7"/>
      <c r="C7" s="512"/>
      <c r="D7" s="512"/>
      <c r="E7" s="512"/>
      <c r="F7" s="512"/>
      <c r="G7" s="512"/>
      <c r="H7" s="512"/>
      <c r="I7" s="512"/>
      <c r="J7" s="512"/>
      <c r="K7" s="512"/>
      <c r="L7" s="143" t="s">
        <v>259</v>
      </c>
      <c r="M7" s="143" t="s">
        <v>260</v>
      </c>
      <c r="N7" s="143" t="s">
        <v>261</v>
      </c>
      <c r="O7" s="143" t="s">
        <v>262</v>
      </c>
      <c r="P7" s="143" t="s">
        <v>259</v>
      </c>
      <c r="Q7" s="143" t="s">
        <v>260</v>
      </c>
      <c r="R7" s="143" t="s">
        <v>263</v>
      </c>
      <c r="S7" s="143" t="s">
        <v>264</v>
      </c>
      <c r="T7" s="143" t="s">
        <v>263</v>
      </c>
      <c r="U7" s="143" t="s">
        <v>264</v>
      </c>
      <c r="V7" s="143" t="s">
        <v>263</v>
      </c>
      <c r="W7" s="143" t="s">
        <v>264</v>
      </c>
      <c r="X7" s="143" t="s">
        <v>263</v>
      </c>
      <c r="Y7" s="143" t="s">
        <v>264</v>
      </c>
      <c r="Z7" s="143" t="s">
        <v>263</v>
      </c>
      <c r="AA7" s="143" t="s">
        <v>264</v>
      </c>
      <c r="AB7" s="143" t="s">
        <v>259</v>
      </c>
      <c r="AC7" s="143" t="s">
        <v>260</v>
      </c>
      <c r="AD7" s="143" t="s">
        <v>261</v>
      </c>
      <c r="AE7" s="143" t="s">
        <v>262</v>
      </c>
      <c r="AF7" s="143" t="s">
        <v>259</v>
      </c>
      <c r="AG7" s="143" t="s">
        <v>260</v>
      </c>
      <c r="AH7" s="143" t="s">
        <v>263</v>
      </c>
      <c r="AI7" s="143" t="s">
        <v>264</v>
      </c>
      <c r="AJ7" s="143" t="s">
        <v>263</v>
      </c>
      <c r="AK7" s="143" t="s">
        <v>264</v>
      </c>
      <c r="AL7" s="143" t="s">
        <v>263</v>
      </c>
      <c r="AM7" s="143" t="s">
        <v>264</v>
      </c>
      <c r="AN7" s="143" t="s">
        <v>263</v>
      </c>
      <c r="AO7" s="143" t="s">
        <v>264</v>
      </c>
      <c r="AP7" s="143" t="s">
        <v>263</v>
      </c>
      <c r="AQ7" s="143" t="s">
        <v>264</v>
      </c>
      <c r="AR7" s="511"/>
      <c r="AS7" s="511"/>
      <c r="AT7"/>
    </row>
    <row r="8" spans="1:46" ht="60">
      <c r="A8" s="8"/>
      <c r="B8" s="144" t="s">
        <v>138</v>
      </c>
      <c r="C8" s="145"/>
      <c r="D8" s="146"/>
      <c r="E8" s="146"/>
      <c r="F8" s="146"/>
      <c r="G8" s="146"/>
      <c r="H8" s="145"/>
      <c r="I8" s="8"/>
      <c r="J8" s="145"/>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row>
    <row r="9" spans="1:46" ht="26.25" customHeight="1">
      <c r="A9" s="8"/>
      <c r="B9" s="64" t="s">
        <v>361</v>
      </c>
      <c r="C9" s="210">
        <v>90</v>
      </c>
      <c r="D9" s="210">
        <v>8</v>
      </c>
      <c r="E9" s="293">
        <v>2</v>
      </c>
      <c r="F9" s="293">
        <v>8</v>
      </c>
      <c r="G9" s="293">
        <v>1</v>
      </c>
      <c r="H9" s="210">
        <v>1</v>
      </c>
      <c r="I9" s="291">
        <v>1.17</v>
      </c>
      <c r="J9" s="291">
        <v>1.17</v>
      </c>
      <c r="K9" s="290">
        <v>0</v>
      </c>
      <c r="L9" s="293">
        <v>0</v>
      </c>
      <c r="M9" s="293">
        <v>0</v>
      </c>
      <c r="N9" s="146">
        <f>R9+T9+V9+X9+Z9</f>
        <v>4328</v>
      </c>
      <c r="O9" s="146">
        <v>36</v>
      </c>
      <c r="P9" s="146">
        <v>12</v>
      </c>
      <c r="Q9" s="146">
        <f>S9+U9+W9+Y9+AA9</f>
        <v>1308</v>
      </c>
      <c r="R9" s="146">
        <v>40</v>
      </c>
      <c r="S9" s="289">
        <v>12</v>
      </c>
      <c r="T9" s="146">
        <f>F9*3*12</f>
        <v>288</v>
      </c>
      <c r="U9" s="146">
        <f>F9*1*12</f>
        <v>96</v>
      </c>
      <c r="V9" s="146">
        <v>80</v>
      </c>
      <c r="W9" s="146">
        <f>E9*12</f>
        <v>24</v>
      </c>
      <c r="X9" s="146">
        <f>D9*40</f>
        <v>320</v>
      </c>
      <c r="Y9" s="146">
        <f>D9*12</f>
        <v>96</v>
      </c>
      <c r="Z9" s="146">
        <f>C9*40</f>
        <v>3600</v>
      </c>
      <c r="AA9" s="146">
        <f>C9*12</f>
        <v>1080</v>
      </c>
      <c r="AB9" s="293"/>
      <c r="AC9" s="293"/>
      <c r="AD9" s="146">
        <f>AH9+AJ9+AL9+AN9+AP9</f>
        <v>26816</v>
      </c>
      <c r="AE9" s="146">
        <f>O9*3</f>
        <v>108</v>
      </c>
      <c r="AF9" s="146">
        <v>72</v>
      </c>
      <c r="AG9" s="146">
        <f>AI9+AK9+AM9+AO9+AQ9</f>
        <v>6060</v>
      </c>
      <c r="AH9" s="146">
        <f>R9*8</f>
        <v>320</v>
      </c>
      <c r="AI9" s="146">
        <f>S9*9</f>
        <v>108</v>
      </c>
      <c r="AJ9" s="146">
        <f>T9*7</f>
        <v>2016</v>
      </c>
      <c r="AK9" s="146">
        <f>U9*7</f>
        <v>672</v>
      </c>
      <c r="AL9" s="146">
        <f>V9*8</f>
        <v>640</v>
      </c>
      <c r="AM9" s="146">
        <f>W9*8</f>
        <v>192</v>
      </c>
      <c r="AN9" s="146">
        <f>X9*7</f>
        <v>2240</v>
      </c>
      <c r="AO9" s="146">
        <f>Y9*8</f>
        <v>768</v>
      </c>
      <c r="AP9" s="146">
        <f>Z9*6</f>
        <v>21600</v>
      </c>
      <c r="AQ9" s="146">
        <f>AA9*4</f>
        <v>4320</v>
      </c>
      <c r="AR9" s="146">
        <v>1</v>
      </c>
      <c r="AS9" s="301">
        <v>0.33</v>
      </c>
      <c r="AT9" s="508" t="s">
        <v>398</v>
      </c>
    </row>
    <row r="10" spans="1:46" ht="26.25" customHeight="1">
      <c r="A10" s="8"/>
      <c r="B10" s="268" t="s">
        <v>362</v>
      </c>
      <c r="C10" s="210">
        <v>74</v>
      </c>
      <c r="D10" s="210">
        <v>8</v>
      </c>
      <c r="E10" s="293">
        <v>0</v>
      </c>
      <c r="F10" s="293">
        <v>6</v>
      </c>
      <c r="G10" s="293">
        <v>1</v>
      </c>
      <c r="H10" s="210">
        <v>1</v>
      </c>
      <c r="I10" s="291"/>
      <c r="J10" s="291"/>
      <c r="K10" s="290"/>
      <c r="L10" s="293">
        <v>0</v>
      </c>
      <c r="M10" s="293">
        <v>0</v>
      </c>
      <c r="N10" s="146">
        <f t="shared" ref="N10:N17" si="0">R10+T10+V10+X10+Z10</f>
        <v>3536</v>
      </c>
      <c r="O10" s="146">
        <v>36</v>
      </c>
      <c r="P10" s="146">
        <v>12</v>
      </c>
      <c r="Q10" s="146">
        <f t="shared" ref="Q10:Q17" si="1">S10+U10+W10+Y10+AA10</f>
        <v>1068</v>
      </c>
      <c r="R10" s="146">
        <v>40</v>
      </c>
      <c r="S10" s="289">
        <v>12</v>
      </c>
      <c r="T10" s="146">
        <f t="shared" ref="T10:T17" si="2">F10*3*12</f>
        <v>216</v>
      </c>
      <c r="U10" s="146">
        <f t="shared" ref="U10:U17" si="3">F10*1*12</f>
        <v>72</v>
      </c>
      <c r="V10" s="146">
        <v>0</v>
      </c>
      <c r="W10" s="146">
        <f t="shared" ref="W10:W17" si="4">E10*12</f>
        <v>0</v>
      </c>
      <c r="X10" s="146">
        <f t="shared" ref="X10:X17" si="5">D10*40</f>
        <v>320</v>
      </c>
      <c r="Y10" s="146">
        <f t="shared" ref="Y10:Y17" si="6">D10*12</f>
        <v>96</v>
      </c>
      <c r="Z10" s="146">
        <f t="shared" ref="Z10:Z17" si="7">C10*40</f>
        <v>2960</v>
      </c>
      <c r="AA10" s="146">
        <f t="shared" ref="AA10:AA19" si="8">C10*12</f>
        <v>888</v>
      </c>
      <c r="AB10" s="293"/>
      <c r="AC10" s="293"/>
      <c r="AD10" s="146">
        <f t="shared" ref="AD10:AD17" si="9">AH10+AJ10+AL10+AN10+AP10</f>
        <v>21832</v>
      </c>
      <c r="AE10" s="146">
        <f t="shared" ref="AE10:AE17" si="10">O10*3</f>
        <v>108</v>
      </c>
      <c r="AF10" s="146">
        <v>72</v>
      </c>
      <c r="AG10" s="146">
        <f t="shared" ref="AG10:AG17" si="11">AI10+AK10+AM10+AO10+AQ10</f>
        <v>4932</v>
      </c>
      <c r="AH10" s="146">
        <f t="shared" ref="AH10:AH17" si="12">R10*8</f>
        <v>320</v>
      </c>
      <c r="AI10" s="146">
        <f t="shared" ref="AI10:AI17" si="13">S10*9</f>
        <v>108</v>
      </c>
      <c r="AJ10" s="146">
        <f t="shared" ref="AJ10:AJ17" si="14">T10*7</f>
        <v>1512</v>
      </c>
      <c r="AK10" s="146">
        <f t="shared" ref="AK10:AK19" si="15">U10*7</f>
        <v>504</v>
      </c>
      <c r="AL10" s="146">
        <f t="shared" ref="AL10:AL19" si="16">V10*8</f>
        <v>0</v>
      </c>
      <c r="AM10" s="146">
        <f t="shared" ref="AM10:AM17" si="17">W10*8</f>
        <v>0</v>
      </c>
      <c r="AN10" s="146">
        <f t="shared" ref="AN10:AN19" si="18">X10*7</f>
        <v>2240</v>
      </c>
      <c r="AO10" s="146">
        <f t="shared" ref="AO10:AO17" si="19">Y10*8</f>
        <v>768</v>
      </c>
      <c r="AP10" s="146">
        <f t="shared" ref="AP10:AP17" si="20">Z10*6</f>
        <v>17760</v>
      </c>
      <c r="AQ10" s="146">
        <f t="shared" ref="AQ10:AQ17" si="21">AA10*4</f>
        <v>3552</v>
      </c>
      <c r="AR10" s="146">
        <v>1</v>
      </c>
      <c r="AS10" s="301">
        <v>0.27</v>
      </c>
      <c r="AT10" s="509"/>
    </row>
    <row r="11" spans="1:46" ht="26.25" customHeight="1">
      <c r="A11" s="8"/>
      <c r="B11" s="268" t="s">
        <v>363</v>
      </c>
      <c r="C11" s="210">
        <v>87</v>
      </c>
      <c r="D11" s="210">
        <v>11</v>
      </c>
      <c r="E11" s="293">
        <v>2</v>
      </c>
      <c r="F11" s="293">
        <v>0</v>
      </c>
      <c r="G11" s="293">
        <v>1</v>
      </c>
      <c r="H11" s="210">
        <v>1</v>
      </c>
      <c r="I11" s="291"/>
      <c r="J11" s="291"/>
      <c r="K11" s="290"/>
      <c r="L11" s="293">
        <v>0</v>
      </c>
      <c r="M11" s="293">
        <v>0</v>
      </c>
      <c r="N11" s="146">
        <f t="shared" si="0"/>
        <v>4040</v>
      </c>
      <c r="O11" s="146">
        <v>36</v>
      </c>
      <c r="P11" s="146">
        <v>12</v>
      </c>
      <c r="Q11" s="146">
        <f t="shared" si="1"/>
        <v>1212</v>
      </c>
      <c r="R11" s="146">
        <v>40</v>
      </c>
      <c r="S11" s="289">
        <v>12</v>
      </c>
      <c r="T11" s="146">
        <f t="shared" si="2"/>
        <v>0</v>
      </c>
      <c r="U11" s="146">
        <f t="shared" si="3"/>
        <v>0</v>
      </c>
      <c r="V11" s="146">
        <v>80</v>
      </c>
      <c r="W11" s="146">
        <f t="shared" si="4"/>
        <v>24</v>
      </c>
      <c r="X11" s="146">
        <f t="shared" si="5"/>
        <v>440</v>
      </c>
      <c r="Y11" s="146">
        <f t="shared" si="6"/>
        <v>132</v>
      </c>
      <c r="Z11" s="146">
        <f t="shared" si="7"/>
        <v>3480</v>
      </c>
      <c r="AA11" s="146">
        <f t="shared" si="8"/>
        <v>1044</v>
      </c>
      <c r="AB11" s="293"/>
      <c r="AC11" s="293"/>
      <c r="AD11" s="146">
        <f t="shared" si="9"/>
        <v>24920</v>
      </c>
      <c r="AE11" s="146">
        <f t="shared" si="10"/>
        <v>108</v>
      </c>
      <c r="AF11" s="146">
        <v>72</v>
      </c>
      <c r="AG11" s="146">
        <f t="shared" si="11"/>
        <v>5532</v>
      </c>
      <c r="AH11" s="146">
        <f t="shared" si="12"/>
        <v>320</v>
      </c>
      <c r="AI11" s="146">
        <f t="shared" si="13"/>
        <v>108</v>
      </c>
      <c r="AJ11" s="146">
        <f t="shared" si="14"/>
        <v>0</v>
      </c>
      <c r="AK11" s="146">
        <f t="shared" si="15"/>
        <v>0</v>
      </c>
      <c r="AL11" s="146">
        <f t="shared" si="16"/>
        <v>640</v>
      </c>
      <c r="AM11" s="146">
        <f t="shared" si="17"/>
        <v>192</v>
      </c>
      <c r="AN11" s="146">
        <f t="shared" si="18"/>
        <v>3080</v>
      </c>
      <c r="AO11" s="146">
        <f t="shared" si="19"/>
        <v>1056</v>
      </c>
      <c r="AP11" s="146">
        <f t="shared" si="20"/>
        <v>20880</v>
      </c>
      <c r="AQ11" s="146">
        <f t="shared" si="21"/>
        <v>4176</v>
      </c>
      <c r="AR11" s="146">
        <v>1</v>
      </c>
      <c r="AS11" s="301">
        <v>0.31</v>
      </c>
      <c r="AT11" s="509"/>
    </row>
    <row r="12" spans="1:46" ht="26.25" customHeight="1">
      <c r="A12" s="8"/>
      <c r="B12" s="64" t="s">
        <v>364</v>
      </c>
      <c r="C12" s="210">
        <v>35</v>
      </c>
      <c r="D12" s="210">
        <v>5</v>
      </c>
      <c r="E12" s="293">
        <v>1</v>
      </c>
      <c r="F12" s="293">
        <v>0</v>
      </c>
      <c r="G12" s="293">
        <v>1</v>
      </c>
      <c r="H12" s="210">
        <v>1</v>
      </c>
      <c r="I12" s="291"/>
      <c r="J12" s="291"/>
      <c r="K12" s="290"/>
      <c r="L12" s="293">
        <v>0</v>
      </c>
      <c r="M12" s="293">
        <v>0</v>
      </c>
      <c r="N12" s="146">
        <f t="shared" si="0"/>
        <v>1680</v>
      </c>
      <c r="O12" s="146">
        <v>36</v>
      </c>
      <c r="P12" s="146">
        <v>12</v>
      </c>
      <c r="Q12" s="146">
        <f t="shared" si="1"/>
        <v>504</v>
      </c>
      <c r="R12" s="146">
        <v>40</v>
      </c>
      <c r="S12" s="289">
        <v>12</v>
      </c>
      <c r="T12" s="146">
        <f t="shared" si="2"/>
        <v>0</v>
      </c>
      <c r="U12" s="146">
        <f t="shared" si="3"/>
        <v>0</v>
      </c>
      <c r="V12" s="146">
        <v>40</v>
      </c>
      <c r="W12" s="146">
        <f t="shared" si="4"/>
        <v>12</v>
      </c>
      <c r="X12" s="146">
        <f t="shared" si="5"/>
        <v>200</v>
      </c>
      <c r="Y12" s="146">
        <f t="shared" si="6"/>
        <v>60</v>
      </c>
      <c r="Z12" s="146">
        <f t="shared" si="7"/>
        <v>1400</v>
      </c>
      <c r="AA12" s="146">
        <f t="shared" si="8"/>
        <v>420</v>
      </c>
      <c r="AB12" s="293"/>
      <c r="AC12" s="293"/>
      <c r="AD12" s="146">
        <f t="shared" si="9"/>
        <v>10440</v>
      </c>
      <c r="AE12" s="146">
        <f t="shared" si="10"/>
        <v>108</v>
      </c>
      <c r="AF12" s="146">
        <v>72</v>
      </c>
      <c r="AG12" s="146">
        <f t="shared" si="11"/>
        <v>2364</v>
      </c>
      <c r="AH12" s="146">
        <f t="shared" si="12"/>
        <v>320</v>
      </c>
      <c r="AI12" s="146">
        <f t="shared" si="13"/>
        <v>108</v>
      </c>
      <c r="AJ12" s="146">
        <f t="shared" si="14"/>
        <v>0</v>
      </c>
      <c r="AK12" s="146">
        <f t="shared" si="15"/>
        <v>0</v>
      </c>
      <c r="AL12" s="146">
        <f t="shared" si="16"/>
        <v>320</v>
      </c>
      <c r="AM12" s="146">
        <f t="shared" si="17"/>
        <v>96</v>
      </c>
      <c r="AN12" s="146">
        <f t="shared" si="18"/>
        <v>1400</v>
      </c>
      <c r="AO12" s="146">
        <f t="shared" si="19"/>
        <v>480</v>
      </c>
      <c r="AP12" s="146">
        <f t="shared" si="20"/>
        <v>8400</v>
      </c>
      <c r="AQ12" s="146">
        <f t="shared" si="21"/>
        <v>1680</v>
      </c>
      <c r="AR12" s="146">
        <v>1</v>
      </c>
      <c r="AS12" s="301">
        <v>0.13</v>
      </c>
      <c r="AT12" s="509"/>
    </row>
    <row r="13" spans="1:46" ht="26.25" customHeight="1">
      <c r="A13" s="8"/>
      <c r="B13" s="269" t="s">
        <v>365</v>
      </c>
      <c r="C13" s="210">
        <v>40</v>
      </c>
      <c r="D13" s="210">
        <v>6</v>
      </c>
      <c r="E13" s="293">
        <v>1</v>
      </c>
      <c r="F13" s="293">
        <v>2</v>
      </c>
      <c r="G13" s="293">
        <v>1</v>
      </c>
      <c r="H13" s="210">
        <v>1</v>
      </c>
      <c r="I13" s="291"/>
      <c r="J13" s="291"/>
      <c r="K13" s="290"/>
      <c r="L13" s="293">
        <v>0</v>
      </c>
      <c r="M13" s="293">
        <v>0</v>
      </c>
      <c r="N13" s="146">
        <f t="shared" si="0"/>
        <v>1992</v>
      </c>
      <c r="O13" s="146">
        <v>36</v>
      </c>
      <c r="P13" s="146">
        <v>12</v>
      </c>
      <c r="Q13" s="146">
        <f t="shared" si="1"/>
        <v>600</v>
      </c>
      <c r="R13" s="146">
        <v>40</v>
      </c>
      <c r="S13" s="289">
        <v>12</v>
      </c>
      <c r="T13" s="146">
        <f t="shared" si="2"/>
        <v>72</v>
      </c>
      <c r="U13" s="146">
        <f t="shared" si="3"/>
        <v>24</v>
      </c>
      <c r="V13" s="146">
        <v>40</v>
      </c>
      <c r="W13" s="146">
        <f t="shared" si="4"/>
        <v>12</v>
      </c>
      <c r="X13" s="146">
        <f t="shared" si="5"/>
        <v>240</v>
      </c>
      <c r="Y13" s="146">
        <f t="shared" si="6"/>
        <v>72</v>
      </c>
      <c r="Z13" s="146">
        <f t="shared" si="7"/>
        <v>1600</v>
      </c>
      <c r="AA13" s="146">
        <f t="shared" si="8"/>
        <v>480</v>
      </c>
      <c r="AB13" s="293"/>
      <c r="AC13" s="293"/>
      <c r="AD13" s="146">
        <f t="shared" si="9"/>
        <v>12424</v>
      </c>
      <c r="AE13" s="146">
        <f t="shared" si="10"/>
        <v>108</v>
      </c>
      <c r="AF13" s="146">
        <v>72</v>
      </c>
      <c r="AG13" s="146">
        <f t="shared" si="11"/>
        <v>2868</v>
      </c>
      <c r="AH13" s="146">
        <f t="shared" si="12"/>
        <v>320</v>
      </c>
      <c r="AI13" s="146">
        <f t="shared" si="13"/>
        <v>108</v>
      </c>
      <c r="AJ13" s="146">
        <f t="shared" si="14"/>
        <v>504</v>
      </c>
      <c r="AK13" s="146">
        <f t="shared" si="15"/>
        <v>168</v>
      </c>
      <c r="AL13" s="146">
        <f t="shared" si="16"/>
        <v>320</v>
      </c>
      <c r="AM13" s="146">
        <f t="shared" si="17"/>
        <v>96</v>
      </c>
      <c r="AN13" s="146">
        <f t="shared" si="18"/>
        <v>1680</v>
      </c>
      <c r="AO13" s="146">
        <f t="shared" si="19"/>
        <v>576</v>
      </c>
      <c r="AP13" s="146">
        <f t="shared" si="20"/>
        <v>9600</v>
      </c>
      <c r="AQ13" s="146">
        <f t="shared" si="21"/>
        <v>1920</v>
      </c>
      <c r="AR13" s="146">
        <v>1</v>
      </c>
      <c r="AS13" s="301">
        <v>0.15</v>
      </c>
      <c r="AT13" s="509"/>
    </row>
    <row r="14" spans="1:46" s="241" customFormat="1" ht="26.25" customHeight="1">
      <c r="A14" s="239"/>
      <c r="B14" s="270" t="s">
        <v>366</v>
      </c>
      <c r="C14" s="294">
        <v>86</v>
      </c>
      <c r="D14" s="294">
        <v>11</v>
      </c>
      <c r="E14" s="295">
        <v>1</v>
      </c>
      <c r="F14" s="295">
        <v>5</v>
      </c>
      <c r="G14" s="295">
        <v>1</v>
      </c>
      <c r="H14" s="210">
        <v>1</v>
      </c>
      <c r="I14" s="291"/>
      <c r="J14" s="291"/>
      <c r="K14" s="290"/>
      <c r="L14" s="293">
        <v>0</v>
      </c>
      <c r="M14" s="293">
        <v>0</v>
      </c>
      <c r="N14" s="146">
        <f t="shared" si="0"/>
        <v>4140</v>
      </c>
      <c r="O14" s="146">
        <v>36</v>
      </c>
      <c r="P14" s="146">
        <v>12</v>
      </c>
      <c r="Q14" s="146">
        <f t="shared" si="1"/>
        <v>1248</v>
      </c>
      <c r="R14" s="240">
        <v>40</v>
      </c>
      <c r="S14" s="289">
        <v>12</v>
      </c>
      <c r="T14" s="146">
        <f t="shared" si="2"/>
        <v>180</v>
      </c>
      <c r="U14" s="146">
        <f t="shared" si="3"/>
        <v>60</v>
      </c>
      <c r="V14" s="240">
        <v>40</v>
      </c>
      <c r="W14" s="146">
        <f t="shared" si="4"/>
        <v>12</v>
      </c>
      <c r="X14" s="146">
        <f t="shared" si="5"/>
        <v>440</v>
      </c>
      <c r="Y14" s="146">
        <f t="shared" si="6"/>
        <v>132</v>
      </c>
      <c r="Z14" s="146">
        <f t="shared" si="7"/>
        <v>3440</v>
      </c>
      <c r="AA14" s="146">
        <f t="shared" si="8"/>
        <v>1032</v>
      </c>
      <c r="AB14" s="295"/>
      <c r="AC14" s="293"/>
      <c r="AD14" s="240">
        <f t="shared" si="9"/>
        <v>25620</v>
      </c>
      <c r="AE14" s="146">
        <f t="shared" si="10"/>
        <v>108</v>
      </c>
      <c r="AF14" s="146">
        <v>72</v>
      </c>
      <c r="AG14" s="240">
        <f t="shared" si="11"/>
        <v>5808</v>
      </c>
      <c r="AH14" s="146">
        <f t="shared" si="12"/>
        <v>320</v>
      </c>
      <c r="AI14" s="146">
        <f t="shared" si="13"/>
        <v>108</v>
      </c>
      <c r="AJ14" s="146">
        <f t="shared" si="14"/>
        <v>1260</v>
      </c>
      <c r="AK14" s="146">
        <f t="shared" si="15"/>
        <v>420</v>
      </c>
      <c r="AL14" s="146">
        <f t="shared" si="16"/>
        <v>320</v>
      </c>
      <c r="AM14" s="146">
        <f t="shared" si="17"/>
        <v>96</v>
      </c>
      <c r="AN14" s="146">
        <f t="shared" si="18"/>
        <v>3080</v>
      </c>
      <c r="AO14" s="146">
        <f t="shared" si="19"/>
        <v>1056</v>
      </c>
      <c r="AP14" s="146">
        <f t="shared" si="20"/>
        <v>20640</v>
      </c>
      <c r="AQ14" s="146">
        <f t="shared" si="21"/>
        <v>4128</v>
      </c>
      <c r="AR14" s="240">
        <v>1</v>
      </c>
      <c r="AS14" s="301">
        <v>0.32</v>
      </c>
      <c r="AT14" s="509"/>
    </row>
    <row r="15" spans="1:46" ht="26.25" customHeight="1">
      <c r="A15" s="8"/>
      <c r="B15" s="269" t="s">
        <v>367</v>
      </c>
      <c r="C15" s="210">
        <v>41</v>
      </c>
      <c r="D15" s="210">
        <v>7</v>
      </c>
      <c r="E15" s="293">
        <v>1</v>
      </c>
      <c r="F15" s="293">
        <v>0</v>
      </c>
      <c r="G15" s="293">
        <v>1</v>
      </c>
      <c r="H15" s="210">
        <v>1</v>
      </c>
      <c r="I15" s="291"/>
      <c r="J15" s="291"/>
      <c r="K15" s="290"/>
      <c r="L15" s="293">
        <v>0</v>
      </c>
      <c r="M15" s="293">
        <v>0</v>
      </c>
      <c r="N15" s="146">
        <f t="shared" si="0"/>
        <v>2000</v>
      </c>
      <c r="O15" s="146">
        <v>36</v>
      </c>
      <c r="P15" s="146">
        <v>12</v>
      </c>
      <c r="Q15" s="146">
        <f t="shared" si="1"/>
        <v>600</v>
      </c>
      <c r="R15" s="146">
        <v>40</v>
      </c>
      <c r="S15" s="289">
        <v>12</v>
      </c>
      <c r="T15" s="146">
        <f t="shared" si="2"/>
        <v>0</v>
      </c>
      <c r="U15" s="146">
        <f t="shared" si="3"/>
        <v>0</v>
      </c>
      <c r="V15" s="146">
        <v>40</v>
      </c>
      <c r="W15" s="146">
        <f t="shared" si="4"/>
        <v>12</v>
      </c>
      <c r="X15" s="146">
        <f t="shared" si="5"/>
        <v>280</v>
      </c>
      <c r="Y15" s="146">
        <f t="shared" si="6"/>
        <v>84</v>
      </c>
      <c r="Z15" s="146">
        <f t="shared" si="7"/>
        <v>1640</v>
      </c>
      <c r="AA15" s="146">
        <f t="shared" si="8"/>
        <v>492</v>
      </c>
      <c r="AB15" s="293"/>
      <c r="AC15" s="293"/>
      <c r="AD15" s="146">
        <f t="shared" si="9"/>
        <v>12440</v>
      </c>
      <c r="AE15" s="146">
        <f t="shared" si="10"/>
        <v>108</v>
      </c>
      <c r="AF15" s="146">
        <v>72</v>
      </c>
      <c r="AG15" s="146">
        <f t="shared" si="11"/>
        <v>2844</v>
      </c>
      <c r="AH15" s="146">
        <f t="shared" si="12"/>
        <v>320</v>
      </c>
      <c r="AI15" s="146">
        <f t="shared" si="13"/>
        <v>108</v>
      </c>
      <c r="AJ15" s="146">
        <f t="shared" si="14"/>
        <v>0</v>
      </c>
      <c r="AK15" s="146">
        <f t="shared" si="15"/>
        <v>0</v>
      </c>
      <c r="AL15" s="146">
        <f t="shared" si="16"/>
        <v>320</v>
      </c>
      <c r="AM15" s="146">
        <f t="shared" si="17"/>
        <v>96</v>
      </c>
      <c r="AN15" s="146">
        <f t="shared" si="18"/>
        <v>1960</v>
      </c>
      <c r="AO15" s="146">
        <f t="shared" si="19"/>
        <v>672</v>
      </c>
      <c r="AP15" s="146">
        <f t="shared" si="20"/>
        <v>9840</v>
      </c>
      <c r="AQ15" s="146">
        <f t="shared" si="21"/>
        <v>1968</v>
      </c>
      <c r="AR15" s="146">
        <v>1</v>
      </c>
      <c r="AS15" s="301">
        <v>0.15</v>
      </c>
      <c r="AT15" s="509"/>
    </row>
    <row r="16" spans="1:46" ht="26.25" customHeight="1">
      <c r="A16" s="8"/>
      <c r="B16" s="64" t="s">
        <v>368</v>
      </c>
      <c r="C16" s="210">
        <v>35</v>
      </c>
      <c r="D16" s="210">
        <v>4</v>
      </c>
      <c r="E16" s="293">
        <v>0</v>
      </c>
      <c r="F16" s="293">
        <v>1</v>
      </c>
      <c r="G16" s="293">
        <v>1</v>
      </c>
      <c r="H16" s="210">
        <v>1</v>
      </c>
      <c r="I16" s="291"/>
      <c r="J16" s="291"/>
      <c r="K16" s="290"/>
      <c r="L16" s="293">
        <v>0</v>
      </c>
      <c r="M16" s="293">
        <v>0</v>
      </c>
      <c r="N16" s="146">
        <f t="shared" si="0"/>
        <v>1636</v>
      </c>
      <c r="O16" s="146">
        <v>36</v>
      </c>
      <c r="P16" s="146">
        <v>12</v>
      </c>
      <c r="Q16" s="146">
        <f t="shared" si="1"/>
        <v>492</v>
      </c>
      <c r="R16" s="146">
        <v>40</v>
      </c>
      <c r="S16" s="289">
        <v>12</v>
      </c>
      <c r="T16" s="146">
        <f t="shared" si="2"/>
        <v>36</v>
      </c>
      <c r="U16" s="146">
        <f t="shared" si="3"/>
        <v>12</v>
      </c>
      <c r="V16" s="146">
        <v>0</v>
      </c>
      <c r="W16" s="146">
        <f t="shared" si="4"/>
        <v>0</v>
      </c>
      <c r="X16" s="146">
        <f t="shared" si="5"/>
        <v>160</v>
      </c>
      <c r="Y16" s="146">
        <f t="shared" si="6"/>
        <v>48</v>
      </c>
      <c r="Z16" s="146">
        <f t="shared" si="7"/>
        <v>1400</v>
      </c>
      <c r="AA16" s="146">
        <f t="shared" si="8"/>
        <v>420</v>
      </c>
      <c r="AB16" s="293"/>
      <c r="AC16" s="293"/>
      <c r="AD16" s="146">
        <f t="shared" si="9"/>
        <v>10092</v>
      </c>
      <c r="AE16" s="146">
        <f t="shared" si="10"/>
        <v>108</v>
      </c>
      <c r="AF16" s="146">
        <v>72</v>
      </c>
      <c r="AG16" s="146">
        <f t="shared" si="11"/>
        <v>2256</v>
      </c>
      <c r="AH16" s="146">
        <f t="shared" si="12"/>
        <v>320</v>
      </c>
      <c r="AI16" s="146">
        <f t="shared" si="13"/>
        <v>108</v>
      </c>
      <c r="AJ16" s="146">
        <f t="shared" si="14"/>
        <v>252</v>
      </c>
      <c r="AK16" s="146">
        <f t="shared" si="15"/>
        <v>84</v>
      </c>
      <c r="AL16" s="146">
        <f t="shared" si="16"/>
        <v>0</v>
      </c>
      <c r="AM16" s="146">
        <f t="shared" si="17"/>
        <v>0</v>
      </c>
      <c r="AN16" s="146">
        <f t="shared" si="18"/>
        <v>1120</v>
      </c>
      <c r="AO16" s="146">
        <f t="shared" si="19"/>
        <v>384</v>
      </c>
      <c r="AP16" s="146">
        <f t="shared" si="20"/>
        <v>8400</v>
      </c>
      <c r="AQ16" s="146">
        <f t="shared" si="21"/>
        <v>1680</v>
      </c>
      <c r="AR16" s="146">
        <v>1</v>
      </c>
      <c r="AS16" s="301">
        <v>0.13</v>
      </c>
      <c r="AT16" s="509"/>
    </row>
    <row r="17" spans="1:46" ht="25.5" customHeight="1">
      <c r="A17" s="8"/>
      <c r="B17" s="147" t="s">
        <v>369</v>
      </c>
      <c r="C17" s="210">
        <v>33</v>
      </c>
      <c r="D17" s="210">
        <v>5</v>
      </c>
      <c r="E17" s="293">
        <v>1</v>
      </c>
      <c r="F17" s="293">
        <v>0</v>
      </c>
      <c r="G17" s="293">
        <v>1</v>
      </c>
      <c r="H17" s="210">
        <v>1</v>
      </c>
      <c r="I17" s="291"/>
      <c r="J17" s="291"/>
      <c r="K17" s="290"/>
      <c r="L17" s="293">
        <v>0</v>
      </c>
      <c r="M17" s="293">
        <v>0</v>
      </c>
      <c r="N17" s="146">
        <f t="shared" si="0"/>
        <v>1600</v>
      </c>
      <c r="O17" s="146">
        <v>36</v>
      </c>
      <c r="P17" s="146">
        <v>12</v>
      </c>
      <c r="Q17" s="146">
        <f t="shared" si="1"/>
        <v>480</v>
      </c>
      <c r="R17" s="146">
        <v>40</v>
      </c>
      <c r="S17" s="289">
        <v>12</v>
      </c>
      <c r="T17" s="146">
        <f t="shared" si="2"/>
        <v>0</v>
      </c>
      <c r="U17" s="146">
        <f t="shared" si="3"/>
        <v>0</v>
      </c>
      <c r="V17" s="146">
        <v>40</v>
      </c>
      <c r="W17" s="146">
        <f t="shared" si="4"/>
        <v>12</v>
      </c>
      <c r="X17" s="146">
        <f t="shared" si="5"/>
        <v>200</v>
      </c>
      <c r="Y17" s="146">
        <f t="shared" si="6"/>
        <v>60</v>
      </c>
      <c r="Z17" s="146">
        <f t="shared" si="7"/>
        <v>1320</v>
      </c>
      <c r="AA17" s="146">
        <f t="shared" si="8"/>
        <v>396</v>
      </c>
      <c r="AB17" s="293"/>
      <c r="AC17" s="293"/>
      <c r="AD17" s="146">
        <f t="shared" si="9"/>
        <v>9960</v>
      </c>
      <c r="AE17" s="146">
        <f t="shared" si="10"/>
        <v>108</v>
      </c>
      <c r="AF17" s="146">
        <v>72</v>
      </c>
      <c r="AG17" s="146">
        <f t="shared" si="11"/>
        <v>2268</v>
      </c>
      <c r="AH17" s="146">
        <f t="shared" si="12"/>
        <v>320</v>
      </c>
      <c r="AI17" s="146">
        <f t="shared" si="13"/>
        <v>108</v>
      </c>
      <c r="AJ17" s="146">
        <f t="shared" si="14"/>
        <v>0</v>
      </c>
      <c r="AK17" s="146">
        <f t="shared" si="15"/>
        <v>0</v>
      </c>
      <c r="AL17" s="146">
        <f t="shared" si="16"/>
        <v>320</v>
      </c>
      <c r="AM17" s="146">
        <f t="shared" si="17"/>
        <v>96</v>
      </c>
      <c r="AN17" s="146">
        <f t="shared" si="18"/>
        <v>1400</v>
      </c>
      <c r="AO17" s="146">
        <f t="shared" si="19"/>
        <v>480</v>
      </c>
      <c r="AP17" s="146">
        <f t="shared" si="20"/>
        <v>7920</v>
      </c>
      <c r="AQ17" s="146">
        <f t="shared" si="21"/>
        <v>1584</v>
      </c>
      <c r="AR17" s="146">
        <v>1</v>
      </c>
      <c r="AS17" s="301">
        <v>0.12</v>
      </c>
      <c r="AT17" s="510"/>
    </row>
    <row r="18" spans="1:46" ht="15.75" hidden="1">
      <c r="A18" s="148"/>
      <c r="B18" s="148"/>
      <c r="C18" s="288"/>
      <c r="D18" s="288"/>
      <c r="E18" s="288"/>
      <c r="F18" s="148"/>
      <c r="G18" s="148"/>
      <c r="K18" s="290">
        <v>0</v>
      </c>
      <c r="L18" s="297"/>
      <c r="M18" s="293">
        <f>Q18*AG18</f>
        <v>0</v>
      </c>
      <c r="N18" s="148"/>
      <c r="O18" s="148"/>
      <c r="P18" s="146"/>
      <c r="Q18" s="148"/>
      <c r="R18" s="148"/>
      <c r="S18" s="148"/>
      <c r="T18" s="146">
        <f>F18*3*12</f>
        <v>0</v>
      </c>
      <c r="U18" s="148"/>
      <c r="V18" s="148"/>
      <c r="W18" s="148"/>
      <c r="X18" s="146">
        <f>3*12*D18</f>
        <v>0</v>
      </c>
      <c r="Y18" s="148"/>
      <c r="Z18" s="148"/>
      <c r="AA18" s="146">
        <f t="shared" si="8"/>
        <v>0</v>
      </c>
      <c r="AB18" s="302"/>
      <c r="AC18" s="293"/>
      <c r="AD18" s="148"/>
      <c r="AE18" s="148"/>
      <c r="AF18" s="146">
        <f>AD18+AG18</f>
        <v>0</v>
      </c>
      <c r="AG18" s="148"/>
      <c r="AH18" s="148"/>
      <c r="AI18" s="148"/>
      <c r="AJ18" s="148"/>
      <c r="AK18" s="146">
        <f t="shared" si="15"/>
        <v>0</v>
      </c>
      <c r="AL18" s="146">
        <f t="shared" si="16"/>
        <v>0</v>
      </c>
      <c r="AM18" s="148"/>
      <c r="AN18" s="146">
        <f t="shared" si="18"/>
        <v>0</v>
      </c>
      <c r="AO18" s="148"/>
      <c r="AP18" s="148"/>
      <c r="AQ18" s="148"/>
      <c r="AR18" s="148"/>
      <c r="AS18" s="301">
        <f>AC18*1/100000</f>
        <v>0</v>
      </c>
      <c r="AT18" s="148"/>
    </row>
    <row r="19" spans="1:46" ht="15.75" hidden="1">
      <c r="A19" s="148"/>
      <c r="B19" s="148"/>
      <c r="C19" s="288"/>
      <c r="D19" s="288"/>
      <c r="E19" s="288"/>
      <c r="F19" s="148"/>
      <c r="G19" s="148"/>
      <c r="K19" s="290">
        <v>0</v>
      </c>
      <c r="L19" s="297"/>
      <c r="M19" s="293">
        <f>Q19*AG19</f>
        <v>0</v>
      </c>
      <c r="N19" s="148"/>
      <c r="O19" s="148"/>
      <c r="P19" s="146"/>
      <c r="Q19" s="148"/>
      <c r="R19" s="148"/>
      <c r="S19" s="148"/>
      <c r="T19" s="146">
        <f>F19*3*12</f>
        <v>0</v>
      </c>
      <c r="U19" s="148"/>
      <c r="V19" s="148"/>
      <c r="W19" s="148"/>
      <c r="X19" s="146">
        <f>3*12*D19</f>
        <v>0</v>
      </c>
      <c r="Y19" s="148"/>
      <c r="Z19" s="148"/>
      <c r="AA19" s="146">
        <f t="shared" si="8"/>
        <v>0</v>
      </c>
      <c r="AB19" s="302"/>
      <c r="AC19" s="293"/>
      <c r="AD19" s="148"/>
      <c r="AE19" s="148"/>
      <c r="AF19" s="146">
        <f>AD19+AG19</f>
        <v>0</v>
      </c>
      <c r="AG19" s="148"/>
      <c r="AH19" s="148"/>
      <c r="AI19" s="148"/>
      <c r="AJ19" s="148"/>
      <c r="AK19" s="146">
        <f t="shared" si="15"/>
        <v>0</v>
      </c>
      <c r="AL19" s="146">
        <f t="shared" si="16"/>
        <v>0</v>
      </c>
      <c r="AM19" s="148"/>
      <c r="AN19" s="146">
        <f t="shared" si="18"/>
        <v>0</v>
      </c>
      <c r="AO19" s="148"/>
      <c r="AP19" s="148"/>
      <c r="AQ19" s="148"/>
      <c r="AR19" s="148"/>
      <c r="AS19" s="301">
        <f>AC19*1/100000</f>
        <v>0</v>
      </c>
      <c r="AT19" s="148"/>
    </row>
    <row r="20" spans="1:46" ht="15.75">
      <c r="A20" s="52" t="s">
        <v>86</v>
      </c>
      <c r="B20" s="52"/>
      <c r="C20" s="59">
        <f>SUM(C8:C17)</f>
        <v>521</v>
      </c>
      <c r="D20" s="59">
        <f>SUM(D9:D19)</f>
        <v>65</v>
      </c>
      <c r="E20" s="59">
        <f>SUM(E8:E17)</f>
        <v>9</v>
      </c>
      <c r="F20" s="59">
        <f>SUM(F8:F17)</f>
        <v>22</v>
      </c>
      <c r="G20" s="59">
        <f>SUM(G8:G17)</f>
        <v>9</v>
      </c>
      <c r="H20" s="59">
        <f>SUM(H8:H17)</f>
        <v>9</v>
      </c>
      <c r="I20" s="59">
        <v>1.17</v>
      </c>
      <c r="J20" s="59">
        <v>1.17</v>
      </c>
      <c r="K20" s="292">
        <v>0</v>
      </c>
      <c r="L20" s="298">
        <f>SUM(L8:L17)</f>
        <v>0</v>
      </c>
      <c r="M20" s="299">
        <f>SUM(M8:M17)</f>
        <v>0</v>
      </c>
      <c r="N20" s="95">
        <f>SUM(N8:N17)</f>
        <v>24952</v>
      </c>
      <c r="O20" s="296">
        <f>SUM(O9:O19)</f>
        <v>324</v>
      </c>
      <c r="P20" s="300">
        <f>SUM(P9:P19)</f>
        <v>108</v>
      </c>
      <c r="Q20" s="95">
        <f>SUM(Q8:Q17)</f>
        <v>7512</v>
      </c>
      <c r="R20" s="95">
        <f t="shared" ref="R20:AR20" si="22">SUM(R8:R17)</f>
        <v>360</v>
      </c>
      <c r="S20" s="95">
        <f t="shared" si="22"/>
        <v>108</v>
      </c>
      <c r="T20" s="95">
        <f t="shared" si="22"/>
        <v>792</v>
      </c>
      <c r="U20" s="95">
        <f t="shared" si="22"/>
        <v>264</v>
      </c>
      <c r="V20" s="95">
        <f t="shared" si="22"/>
        <v>360</v>
      </c>
      <c r="W20" s="95">
        <f t="shared" si="22"/>
        <v>108</v>
      </c>
      <c r="X20" s="95">
        <f t="shared" si="22"/>
        <v>2600</v>
      </c>
      <c r="Y20" s="95">
        <f t="shared" si="22"/>
        <v>780</v>
      </c>
      <c r="Z20" s="95">
        <f t="shared" si="22"/>
        <v>20840</v>
      </c>
      <c r="AA20" s="95">
        <f t="shared" si="22"/>
        <v>6252</v>
      </c>
      <c r="AB20" s="299">
        <f t="shared" si="22"/>
        <v>0</v>
      </c>
      <c r="AC20" s="303">
        <v>0</v>
      </c>
      <c r="AD20" s="95">
        <f t="shared" si="22"/>
        <v>154544</v>
      </c>
      <c r="AE20" s="95">
        <f t="shared" si="22"/>
        <v>972</v>
      </c>
      <c r="AF20" s="95">
        <f t="shared" si="22"/>
        <v>648</v>
      </c>
      <c r="AG20" s="95">
        <f t="shared" si="22"/>
        <v>34932</v>
      </c>
      <c r="AH20" s="95">
        <f t="shared" si="22"/>
        <v>2880</v>
      </c>
      <c r="AI20" s="95">
        <f t="shared" si="22"/>
        <v>972</v>
      </c>
      <c r="AJ20" s="95">
        <f t="shared" si="22"/>
        <v>5544</v>
      </c>
      <c r="AK20" s="95">
        <f t="shared" si="22"/>
        <v>1848</v>
      </c>
      <c r="AL20" s="95">
        <f t="shared" si="22"/>
        <v>2880</v>
      </c>
      <c r="AM20" s="95">
        <f t="shared" si="22"/>
        <v>864</v>
      </c>
      <c r="AN20" s="95">
        <f t="shared" si="22"/>
        <v>18200</v>
      </c>
      <c r="AO20" s="95">
        <f t="shared" si="22"/>
        <v>6240</v>
      </c>
      <c r="AP20" s="95">
        <f t="shared" si="22"/>
        <v>125040</v>
      </c>
      <c r="AQ20" s="95">
        <f t="shared" si="22"/>
        <v>25008</v>
      </c>
      <c r="AR20" s="95">
        <f t="shared" si="22"/>
        <v>9</v>
      </c>
      <c r="AS20" s="301">
        <v>1.91</v>
      </c>
      <c r="AT20" s="149"/>
    </row>
  </sheetData>
  <mergeCells count="34">
    <mergeCell ref="L3:AS3"/>
    <mergeCell ref="A2:J2"/>
    <mergeCell ref="C3:G3"/>
    <mergeCell ref="H3:K3"/>
    <mergeCell ref="C4:C7"/>
    <mergeCell ref="D4:D7"/>
    <mergeCell ref="E4:E7"/>
    <mergeCell ref="F4:F7"/>
    <mergeCell ref="G4:G7"/>
    <mergeCell ref="H4:H7"/>
    <mergeCell ref="I4:I7"/>
    <mergeCell ref="J4:J7"/>
    <mergeCell ref="K4:K7"/>
    <mergeCell ref="L4:AA4"/>
    <mergeCell ref="L5:M6"/>
    <mergeCell ref="N5:Q6"/>
    <mergeCell ref="R5:AA5"/>
    <mergeCell ref="AB5:AC6"/>
    <mergeCell ref="AD5:AG6"/>
    <mergeCell ref="R6:S6"/>
    <mergeCell ref="T6:U6"/>
    <mergeCell ref="V6:W6"/>
    <mergeCell ref="X6:Y6"/>
    <mergeCell ref="Z6:AA6"/>
    <mergeCell ref="AL6:AM6"/>
    <mergeCell ref="AN6:AO6"/>
    <mergeCell ref="AP6:AQ6"/>
    <mergeCell ref="AT9:AT17"/>
    <mergeCell ref="AB4:AQ4"/>
    <mergeCell ref="AR4:AR7"/>
    <mergeCell ref="AS4:AS7"/>
    <mergeCell ref="AH5:AQ5"/>
    <mergeCell ref="AH6:AI6"/>
    <mergeCell ref="AJ6:AK6"/>
  </mergeCells>
  <pageMargins left="0.25" right="0.25" top="0.75" bottom="0.75" header="0.3" footer="0.3"/>
  <pageSetup paperSize="9" scale="70" orientation="portrait"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E5" sqref="E5"/>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ht="18.75" customHeight="1">
      <c r="A3" s="401">
        <v>5</v>
      </c>
      <c r="B3" s="401"/>
      <c r="C3" s="16" t="s">
        <v>265</v>
      </c>
      <c r="D3" s="17"/>
      <c r="E3" s="18"/>
    </row>
    <row r="4" spans="1:5" ht="168" customHeight="1">
      <c r="A4" s="18"/>
      <c r="B4" s="19" t="s">
        <v>14</v>
      </c>
      <c r="C4" s="23" t="s">
        <v>266</v>
      </c>
      <c r="D4" s="21" t="s">
        <v>267</v>
      </c>
      <c r="E4" s="21" t="s">
        <v>268</v>
      </c>
    </row>
    <row r="5" spans="1:5" ht="176.25" customHeight="1">
      <c r="A5" s="18"/>
      <c r="B5" s="19" t="s">
        <v>15</v>
      </c>
      <c r="C5" s="23" t="s">
        <v>269</v>
      </c>
      <c r="D5" s="21" t="s">
        <v>270</v>
      </c>
      <c r="E5" s="21" t="s">
        <v>271</v>
      </c>
    </row>
    <row r="6" spans="1:5" ht="200.25" customHeight="1">
      <c r="A6" s="18"/>
      <c r="B6" s="19" t="s">
        <v>16</v>
      </c>
      <c r="C6" s="18" t="s">
        <v>272</v>
      </c>
      <c r="D6" s="21" t="s">
        <v>273</v>
      </c>
      <c r="E6" s="21" t="s">
        <v>274</v>
      </c>
    </row>
  </sheetData>
  <mergeCells count="3">
    <mergeCell ref="A1:D1"/>
    <mergeCell ref="A2:B2"/>
    <mergeCell ref="A3:B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0"/>
  <sheetViews>
    <sheetView showGridLines="0" workbookViewId="0">
      <selection activeCell="N18" sqref="N18"/>
    </sheetView>
  </sheetViews>
  <sheetFormatPr defaultColWidth="9.140625" defaultRowHeight="12.75"/>
  <cols>
    <col min="1" max="1" width="6.5703125" style="25" customWidth="1"/>
    <col min="2" max="2" width="18" style="25" customWidth="1"/>
    <col min="3" max="4" width="12.28515625" style="12" customWidth="1"/>
    <col min="5" max="6" width="13.85546875" style="12" customWidth="1"/>
    <col min="7" max="7" width="12.28515625" style="12" customWidth="1"/>
    <col min="8" max="9" width="13.42578125" style="25" customWidth="1"/>
    <col min="10" max="10" width="12.85546875" style="25" customWidth="1"/>
    <col min="11" max="12" width="11.140625" style="25" customWidth="1"/>
    <col min="13" max="13" width="16.5703125" style="25" customWidth="1"/>
    <col min="14" max="14" width="14.42578125" style="25" customWidth="1"/>
    <col min="15" max="16384" width="9.140625" style="12"/>
  </cols>
  <sheetData>
    <row r="1" spans="1:14">
      <c r="A1" s="150" t="s">
        <v>275</v>
      </c>
      <c r="B1" s="151"/>
      <c r="C1" s="151"/>
      <c r="D1" s="151"/>
      <c r="E1" s="151"/>
      <c r="F1" s="151"/>
      <c r="G1" s="151"/>
      <c r="H1" s="151"/>
      <c r="I1" s="151"/>
      <c r="J1" s="151"/>
      <c r="K1" s="151"/>
      <c r="L1" s="151"/>
      <c r="N1" s="152"/>
    </row>
    <row r="2" spans="1:14" ht="14.25">
      <c r="A2" s="426" t="s">
        <v>353</v>
      </c>
      <c r="B2" s="426"/>
      <c r="C2" s="426"/>
      <c r="D2" s="426"/>
      <c r="E2" s="426"/>
      <c r="F2" s="426"/>
      <c r="G2" s="426"/>
      <c r="H2" s="426"/>
      <c r="I2" s="426"/>
      <c r="J2" s="426"/>
      <c r="K2" s="151"/>
      <c r="L2" s="151"/>
      <c r="N2" s="152"/>
    </row>
    <row r="3" spans="1:14" ht="38.25" customHeight="1">
      <c r="A3" s="427" t="s">
        <v>0</v>
      </c>
      <c r="B3" s="427" t="s">
        <v>184</v>
      </c>
      <c r="C3" s="418" t="s">
        <v>136</v>
      </c>
      <c r="D3" s="419"/>
      <c r="E3" s="419"/>
      <c r="F3" s="419"/>
      <c r="G3" s="420"/>
      <c r="H3" s="406" t="s">
        <v>134</v>
      </c>
      <c r="I3" s="406"/>
      <c r="J3" s="406"/>
      <c r="K3" s="406"/>
      <c r="L3" s="406"/>
      <c r="M3" s="406"/>
      <c r="N3" s="404" t="s">
        <v>118</v>
      </c>
    </row>
    <row r="4" spans="1:14" ht="27" customHeight="1">
      <c r="A4" s="471"/>
      <c r="B4" s="471"/>
      <c r="C4" s="451" t="s">
        <v>276</v>
      </c>
      <c r="D4" s="451" t="s">
        <v>277</v>
      </c>
      <c r="E4" s="451" t="s">
        <v>122</v>
      </c>
      <c r="F4" s="451" t="s">
        <v>123</v>
      </c>
      <c r="G4" s="451" t="s">
        <v>124</v>
      </c>
      <c r="H4" s="451" t="s">
        <v>278</v>
      </c>
      <c r="I4" s="451"/>
      <c r="J4" s="451"/>
      <c r="K4" s="521" t="s">
        <v>279</v>
      </c>
      <c r="L4" s="521" t="s">
        <v>280</v>
      </c>
      <c r="M4" s="521" t="s">
        <v>204</v>
      </c>
      <c r="N4" s="520"/>
    </row>
    <row r="5" spans="1:14" ht="38.25">
      <c r="A5" s="471"/>
      <c r="B5" s="471"/>
      <c r="C5" s="451"/>
      <c r="D5" s="451"/>
      <c r="E5" s="451"/>
      <c r="F5" s="451"/>
      <c r="G5" s="451"/>
      <c r="H5" s="153" t="s">
        <v>281</v>
      </c>
      <c r="I5" s="153" t="s">
        <v>282</v>
      </c>
      <c r="J5" s="153" t="s">
        <v>283</v>
      </c>
      <c r="K5" s="522"/>
      <c r="L5" s="522"/>
      <c r="M5" s="523"/>
      <c r="N5" s="405"/>
    </row>
    <row r="6" spans="1:14" s="2" customFormat="1" ht="21" customHeight="1">
      <c r="A6" s="154"/>
      <c r="B6" s="154"/>
      <c r="C6" s="154"/>
      <c r="D6" s="154"/>
      <c r="E6" s="154"/>
      <c r="F6" s="154"/>
      <c r="G6" s="154"/>
      <c r="H6" s="154"/>
      <c r="I6" s="154"/>
      <c r="J6" s="154"/>
      <c r="K6" s="154" t="s">
        <v>14</v>
      </c>
      <c r="L6" s="154" t="s">
        <v>15</v>
      </c>
      <c r="M6" s="154" t="s">
        <v>224</v>
      </c>
      <c r="N6" s="154"/>
    </row>
    <row r="7" spans="1:14" ht="39" customHeight="1">
      <c r="A7" s="155"/>
      <c r="B7" s="156" t="s">
        <v>359</v>
      </c>
      <c r="C7" s="223"/>
      <c r="D7" s="223"/>
      <c r="E7" s="242"/>
      <c r="F7" s="242"/>
      <c r="G7" s="243"/>
      <c r="H7" s="242"/>
      <c r="I7" s="242"/>
      <c r="J7" s="242"/>
      <c r="K7" s="242"/>
      <c r="L7" s="242"/>
      <c r="M7" s="244">
        <f>(K7*L7)/100000</f>
        <v>0</v>
      </c>
      <c r="N7" s="517" t="s">
        <v>371</v>
      </c>
    </row>
    <row r="8" spans="1:14">
      <c r="A8" s="155"/>
      <c r="B8" s="156" t="s">
        <v>370</v>
      </c>
      <c r="C8" s="245">
        <v>2</v>
      </c>
      <c r="D8" s="245">
        <v>1</v>
      </c>
      <c r="E8" s="242">
        <v>3</v>
      </c>
      <c r="F8" s="242">
        <v>0</v>
      </c>
      <c r="G8" s="246">
        <f>E8-F8</f>
        <v>3</v>
      </c>
      <c r="H8" s="242">
        <v>4</v>
      </c>
      <c r="I8" s="242">
        <v>10</v>
      </c>
      <c r="J8" s="242">
        <v>27</v>
      </c>
      <c r="K8" s="242">
        <v>2</v>
      </c>
      <c r="L8" s="242">
        <v>1.5</v>
      </c>
      <c r="M8" s="244">
        <f>K8*L8</f>
        <v>3</v>
      </c>
      <c r="N8" s="518"/>
    </row>
    <row r="9" spans="1:14">
      <c r="A9" s="155"/>
      <c r="B9" s="156"/>
      <c r="C9" s="223"/>
      <c r="D9" s="223"/>
      <c r="E9" s="242"/>
      <c r="F9" s="242"/>
      <c r="G9" s="243"/>
      <c r="H9" s="242"/>
      <c r="I9" s="242"/>
      <c r="J9" s="242"/>
      <c r="K9" s="242"/>
      <c r="L9" s="242"/>
      <c r="M9" s="244">
        <f>(K9*L9)/100000</f>
        <v>0</v>
      </c>
      <c r="N9" s="519"/>
    </row>
    <row r="10" spans="1:14">
      <c r="A10" s="52"/>
      <c r="B10" s="52" t="s">
        <v>86</v>
      </c>
      <c r="C10" s="59">
        <f t="shared" ref="C10:K10" si="0">SUM(C7:C9)</f>
        <v>2</v>
      </c>
      <c r="D10" s="59">
        <f t="shared" si="0"/>
        <v>1</v>
      </c>
      <c r="E10" s="59">
        <f t="shared" si="0"/>
        <v>3</v>
      </c>
      <c r="F10" s="59">
        <f t="shared" si="0"/>
        <v>0</v>
      </c>
      <c r="G10" s="59">
        <f t="shared" si="0"/>
        <v>3</v>
      </c>
      <c r="H10" s="59">
        <f t="shared" si="0"/>
        <v>4</v>
      </c>
      <c r="I10" s="59">
        <f t="shared" si="0"/>
        <v>10</v>
      </c>
      <c r="J10" s="59">
        <f t="shared" si="0"/>
        <v>27</v>
      </c>
      <c r="K10" s="59">
        <f t="shared" si="0"/>
        <v>2</v>
      </c>
      <c r="L10" s="199"/>
      <c r="M10" s="247">
        <f>SUM(M7:M9)</f>
        <v>3</v>
      </c>
      <c r="N10" s="199"/>
    </row>
  </sheetData>
  <mergeCells count="16">
    <mergeCell ref="A3:A5"/>
    <mergeCell ref="B3:B5"/>
    <mergeCell ref="C3:G3"/>
    <mergeCell ref="H3:M3"/>
    <mergeCell ref="A2:J2"/>
    <mergeCell ref="N7:N9"/>
    <mergeCell ref="N3:N5"/>
    <mergeCell ref="C4:C5"/>
    <mergeCell ref="D4:D5"/>
    <mergeCell ref="E4:E5"/>
    <mergeCell ref="F4:F5"/>
    <mergeCell ref="G4:G5"/>
    <mergeCell ref="H4:J4"/>
    <mergeCell ref="K4:K5"/>
    <mergeCell ref="L4:L5"/>
    <mergeCell ref="M4:M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18"/>
  <sheetViews>
    <sheetView showGridLines="0" workbookViewId="0">
      <selection activeCell="N8" sqref="N8"/>
    </sheetView>
  </sheetViews>
  <sheetFormatPr defaultColWidth="9.140625" defaultRowHeight="15"/>
  <cols>
    <col min="1" max="1" width="7.5703125" style="129" customWidth="1"/>
    <col min="2" max="2" width="14.42578125" style="129" customWidth="1"/>
    <col min="3" max="3" width="11.140625" style="129" customWidth="1"/>
    <col min="4" max="4" width="10.5703125" style="125" customWidth="1"/>
    <col min="5" max="5" width="10.42578125" style="125" customWidth="1"/>
    <col min="6" max="6" width="13.85546875" style="125" customWidth="1"/>
    <col min="7" max="8" width="12.28515625" style="125" customWidth="1"/>
    <col min="9" max="9" width="8.140625" style="129" bestFit="1" customWidth="1"/>
    <col min="10" max="10" width="15.42578125" style="129" customWidth="1"/>
    <col min="11" max="11" width="11.28515625" style="129" bestFit="1" customWidth="1"/>
    <col min="12" max="13" width="11.140625" style="129" customWidth="1"/>
    <col min="14" max="15" width="14.42578125" style="129" customWidth="1"/>
    <col min="16" max="16384" width="9.140625" style="125"/>
  </cols>
  <sheetData>
    <row r="1" spans="1:22">
      <c r="A1" s="157" t="s">
        <v>432</v>
      </c>
      <c r="B1" s="158"/>
      <c r="C1" s="158"/>
      <c r="D1" s="158"/>
      <c r="E1" s="158"/>
      <c r="F1" s="158"/>
      <c r="G1" s="158"/>
      <c r="H1" s="158"/>
      <c r="I1" s="158"/>
      <c r="J1" s="158"/>
      <c r="K1" s="158"/>
      <c r="L1" s="158"/>
      <c r="M1" s="158"/>
      <c r="O1" s="159"/>
    </row>
    <row r="2" spans="1:22" ht="15" customHeight="1">
      <c r="A2" s="426" t="s">
        <v>358</v>
      </c>
      <c r="B2" s="426"/>
      <c r="C2" s="426"/>
      <c r="D2" s="426"/>
      <c r="E2" s="426"/>
      <c r="F2" s="426"/>
      <c r="G2" s="426"/>
      <c r="H2" s="426"/>
      <c r="I2" s="426"/>
      <c r="J2" s="426"/>
      <c r="K2" s="158"/>
      <c r="L2" s="158"/>
      <c r="M2" s="158"/>
      <c r="O2" s="159"/>
    </row>
    <row r="3" spans="1:22" ht="38.25" customHeight="1">
      <c r="A3" s="487" t="s">
        <v>0</v>
      </c>
      <c r="B3" s="487" t="s">
        <v>184</v>
      </c>
      <c r="C3" s="487" t="s">
        <v>284</v>
      </c>
      <c r="D3" s="528" t="s">
        <v>136</v>
      </c>
      <c r="E3" s="528"/>
      <c r="F3" s="528"/>
      <c r="G3" s="528"/>
      <c r="H3" s="528"/>
      <c r="I3" s="528" t="s">
        <v>431</v>
      </c>
      <c r="J3" s="528"/>
      <c r="K3" s="528"/>
      <c r="L3" s="528"/>
      <c r="M3" s="528"/>
      <c r="N3" s="528"/>
      <c r="O3" s="525" t="s">
        <v>118</v>
      </c>
    </row>
    <row r="4" spans="1:22" ht="35.25" customHeight="1">
      <c r="A4" s="487"/>
      <c r="B4" s="487"/>
      <c r="C4" s="487"/>
      <c r="D4" s="452" t="s">
        <v>276</v>
      </c>
      <c r="E4" s="452" t="s">
        <v>277</v>
      </c>
      <c r="F4" s="452" t="s">
        <v>122</v>
      </c>
      <c r="G4" s="452" t="s">
        <v>123</v>
      </c>
      <c r="H4" s="452" t="s">
        <v>124</v>
      </c>
      <c r="I4" s="452" t="s">
        <v>278</v>
      </c>
      <c r="J4" s="452"/>
      <c r="K4" s="452"/>
      <c r="L4" s="529" t="s">
        <v>279</v>
      </c>
      <c r="M4" s="529" t="s">
        <v>285</v>
      </c>
      <c r="N4" s="529" t="s">
        <v>204</v>
      </c>
      <c r="O4" s="526"/>
    </row>
    <row r="5" spans="1:22" ht="30">
      <c r="A5" s="487"/>
      <c r="B5" s="487"/>
      <c r="C5" s="487"/>
      <c r="D5" s="452"/>
      <c r="E5" s="452"/>
      <c r="F5" s="452"/>
      <c r="G5" s="452"/>
      <c r="H5" s="452"/>
      <c r="I5" s="368" t="s">
        <v>281</v>
      </c>
      <c r="J5" s="368" t="s">
        <v>286</v>
      </c>
      <c r="K5" s="368" t="s">
        <v>287</v>
      </c>
      <c r="L5" s="530"/>
      <c r="M5" s="530"/>
      <c r="N5" s="530"/>
      <c r="O5" s="527"/>
    </row>
    <row r="6" spans="1:22" s="129" customFormat="1" ht="21" customHeight="1">
      <c r="A6" s="154"/>
      <c r="B6" s="154"/>
      <c r="C6" s="154"/>
      <c r="D6" s="154"/>
      <c r="E6" s="154"/>
      <c r="F6" s="154"/>
      <c r="G6" s="154"/>
      <c r="H6" s="154"/>
      <c r="I6" s="154"/>
      <c r="J6" s="154"/>
      <c r="K6" s="154"/>
      <c r="L6" s="154" t="s">
        <v>14</v>
      </c>
      <c r="M6" s="154" t="s">
        <v>15</v>
      </c>
      <c r="N6" s="154" t="s">
        <v>224</v>
      </c>
      <c r="O6" s="154"/>
    </row>
    <row r="7" spans="1:22" ht="90">
      <c r="A7" s="8"/>
      <c r="B7" s="156" t="s">
        <v>138</v>
      </c>
      <c r="C7" s="8"/>
      <c r="D7" s="160"/>
      <c r="E7" s="160"/>
      <c r="F7" s="8"/>
      <c r="G7" s="160"/>
      <c r="H7" s="161"/>
      <c r="I7" s="8"/>
      <c r="J7" s="8"/>
      <c r="K7" s="8"/>
      <c r="L7" s="8"/>
      <c r="M7" s="8"/>
      <c r="N7" s="378">
        <f>(L7*M7)/100000</f>
        <v>0</v>
      </c>
      <c r="O7" s="10"/>
      <c r="S7" s="332"/>
      <c r="T7" s="332"/>
      <c r="U7" s="332"/>
      <c r="V7" s="332"/>
    </row>
    <row r="8" spans="1:22" ht="15.75" customHeight="1">
      <c r="A8" s="8"/>
      <c r="B8" s="64" t="s">
        <v>361</v>
      </c>
      <c r="C8" s="207">
        <v>4</v>
      </c>
      <c r="D8" s="207">
        <v>4</v>
      </c>
      <c r="E8" s="207"/>
      <c r="F8" s="335"/>
      <c r="G8" s="248"/>
      <c r="H8" s="249"/>
      <c r="I8" s="8">
        <v>2</v>
      </c>
      <c r="J8" s="209">
        <v>11</v>
      </c>
      <c r="K8" s="304">
        <v>12</v>
      </c>
      <c r="L8" s="209">
        <v>4</v>
      </c>
      <c r="M8" s="207">
        <v>40000</v>
      </c>
      <c r="N8" s="376">
        <f>L8*M8/100000</f>
        <v>1.6</v>
      </c>
      <c r="O8" s="524" t="s">
        <v>379</v>
      </c>
      <c r="S8" s="332"/>
      <c r="T8" s="333"/>
      <c r="U8" s="334"/>
      <c r="V8" s="332"/>
    </row>
    <row r="9" spans="1:22" ht="15.75">
      <c r="A9" s="8"/>
      <c r="B9" s="268" t="s">
        <v>362</v>
      </c>
      <c r="C9" s="207">
        <v>3</v>
      </c>
      <c r="D9" s="207">
        <v>4</v>
      </c>
      <c r="E9" s="207"/>
      <c r="F9" s="330"/>
      <c r="G9" s="248"/>
      <c r="H9" s="249"/>
      <c r="I9" s="8">
        <v>2</v>
      </c>
      <c r="J9" s="209">
        <v>11</v>
      </c>
      <c r="K9" s="304">
        <v>8</v>
      </c>
      <c r="L9" s="209">
        <v>4</v>
      </c>
      <c r="M9" s="207">
        <v>35000</v>
      </c>
      <c r="N9" s="376">
        <f t="shared" ref="N9:N16" si="0">L9*M9/100000</f>
        <v>1.4</v>
      </c>
      <c r="O9" s="524"/>
      <c r="S9" s="332"/>
      <c r="T9" s="333"/>
      <c r="U9" s="334"/>
      <c r="V9" s="332"/>
    </row>
    <row r="10" spans="1:22" ht="15.75">
      <c r="A10" s="8"/>
      <c r="B10" s="268" t="s">
        <v>363</v>
      </c>
      <c r="C10" s="207">
        <v>6</v>
      </c>
      <c r="D10" s="207">
        <v>4</v>
      </c>
      <c r="E10" s="207"/>
      <c r="F10" s="330"/>
      <c r="G10" s="248"/>
      <c r="H10" s="249"/>
      <c r="I10" s="8">
        <v>2</v>
      </c>
      <c r="J10" s="209">
        <v>10</v>
      </c>
      <c r="K10" s="304">
        <v>15</v>
      </c>
      <c r="L10" s="209">
        <v>4</v>
      </c>
      <c r="M10" s="207">
        <v>39000</v>
      </c>
      <c r="N10" s="376">
        <f t="shared" si="0"/>
        <v>1.56</v>
      </c>
      <c r="O10" s="524"/>
      <c r="S10" s="332"/>
      <c r="T10" s="333"/>
      <c r="U10" s="334"/>
      <c r="V10" s="332"/>
    </row>
    <row r="11" spans="1:22" ht="15.75">
      <c r="A11" s="8"/>
      <c r="B11" s="64" t="s">
        <v>364</v>
      </c>
      <c r="C11" s="207">
        <v>3</v>
      </c>
      <c r="D11" s="207">
        <v>4</v>
      </c>
      <c r="E11" s="207"/>
      <c r="F11" s="330"/>
      <c r="G11" s="248"/>
      <c r="H11" s="249"/>
      <c r="I11" s="8">
        <v>2</v>
      </c>
      <c r="J11" s="209">
        <v>10</v>
      </c>
      <c r="K11" s="304">
        <v>7</v>
      </c>
      <c r="L11" s="209">
        <v>4</v>
      </c>
      <c r="M11" s="207">
        <v>26000</v>
      </c>
      <c r="N11" s="376">
        <f t="shared" si="0"/>
        <v>1.04</v>
      </c>
      <c r="O11" s="524"/>
      <c r="S11" s="332"/>
      <c r="T11" s="333"/>
      <c r="U11" s="334"/>
      <c r="V11" s="332"/>
    </row>
    <row r="12" spans="1:22" ht="15.75">
      <c r="A12" s="8"/>
      <c r="B12" s="269" t="s">
        <v>365</v>
      </c>
      <c r="C12" s="207">
        <v>4</v>
      </c>
      <c r="D12" s="207">
        <v>4</v>
      </c>
      <c r="E12" s="207"/>
      <c r="F12" s="330"/>
      <c r="G12" s="248"/>
      <c r="H12" s="249"/>
      <c r="I12" s="8">
        <v>2</v>
      </c>
      <c r="J12" s="209">
        <v>10</v>
      </c>
      <c r="K12" s="304">
        <v>7</v>
      </c>
      <c r="L12" s="209">
        <v>4</v>
      </c>
      <c r="M12" s="236">
        <v>27000</v>
      </c>
      <c r="N12" s="376">
        <f t="shared" si="0"/>
        <v>1.08</v>
      </c>
      <c r="O12" s="524"/>
      <c r="S12" s="332"/>
      <c r="T12" s="333"/>
      <c r="U12" s="334"/>
      <c r="V12" s="332"/>
    </row>
    <row r="13" spans="1:22" ht="15.75">
      <c r="A13" s="8"/>
      <c r="B13" s="269" t="s">
        <v>366</v>
      </c>
      <c r="C13" s="207">
        <v>4</v>
      </c>
      <c r="D13" s="207">
        <v>4</v>
      </c>
      <c r="E13" s="207"/>
      <c r="F13" s="330"/>
      <c r="G13" s="248"/>
      <c r="H13" s="249"/>
      <c r="I13" s="8">
        <v>2</v>
      </c>
      <c r="J13" s="209">
        <v>11</v>
      </c>
      <c r="K13" s="304">
        <v>14</v>
      </c>
      <c r="L13" s="209">
        <v>4</v>
      </c>
      <c r="M13" s="207">
        <v>41000</v>
      </c>
      <c r="N13" s="376">
        <f t="shared" si="0"/>
        <v>1.64</v>
      </c>
      <c r="O13" s="524"/>
      <c r="S13" s="332"/>
      <c r="T13" s="333"/>
      <c r="U13" s="334"/>
      <c r="V13" s="332"/>
    </row>
    <row r="14" spans="1:22" ht="15.75">
      <c r="A14" s="8"/>
      <c r="B14" s="269" t="s">
        <v>367</v>
      </c>
      <c r="C14" s="207">
        <v>3</v>
      </c>
      <c r="D14" s="207">
        <v>4</v>
      </c>
      <c r="E14" s="207"/>
      <c r="F14" s="330"/>
      <c r="G14" s="248"/>
      <c r="H14" s="249"/>
      <c r="I14" s="8">
        <v>2</v>
      </c>
      <c r="J14" s="209">
        <v>10</v>
      </c>
      <c r="K14" s="304">
        <v>10</v>
      </c>
      <c r="L14" s="209">
        <v>4</v>
      </c>
      <c r="M14" s="207">
        <v>35000</v>
      </c>
      <c r="N14" s="376">
        <f t="shared" si="0"/>
        <v>1.4</v>
      </c>
      <c r="O14" s="524"/>
      <c r="S14" s="332"/>
      <c r="T14" s="333"/>
      <c r="U14" s="334"/>
      <c r="V14" s="332"/>
    </row>
    <row r="15" spans="1:22" ht="15.75">
      <c r="A15" s="8"/>
      <c r="B15" s="64" t="s">
        <v>368</v>
      </c>
      <c r="C15" s="207">
        <v>2</v>
      </c>
      <c r="D15" s="207">
        <v>4</v>
      </c>
      <c r="E15" s="207"/>
      <c r="F15" s="330"/>
      <c r="G15" s="248"/>
      <c r="H15" s="249"/>
      <c r="I15" s="8">
        <v>2</v>
      </c>
      <c r="J15" s="209">
        <v>10</v>
      </c>
      <c r="K15" s="304">
        <v>5</v>
      </c>
      <c r="L15" s="209">
        <v>4</v>
      </c>
      <c r="M15" s="207">
        <v>25000</v>
      </c>
      <c r="N15" s="376">
        <f t="shared" si="0"/>
        <v>1</v>
      </c>
      <c r="O15" s="524"/>
      <c r="S15" s="332"/>
      <c r="T15" s="333"/>
      <c r="U15" s="334"/>
      <c r="V15" s="332"/>
    </row>
    <row r="16" spans="1:22" ht="15.75">
      <c r="A16" s="8"/>
      <c r="B16" s="147" t="s">
        <v>369</v>
      </c>
      <c r="C16" s="207">
        <v>3</v>
      </c>
      <c r="D16" s="207">
        <v>4</v>
      </c>
      <c r="E16" s="207"/>
      <c r="F16" s="330"/>
      <c r="G16" s="248"/>
      <c r="H16" s="249"/>
      <c r="I16" s="8">
        <v>2</v>
      </c>
      <c r="J16" s="209">
        <v>10</v>
      </c>
      <c r="K16" s="304">
        <v>7</v>
      </c>
      <c r="L16" s="209">
        <v>4</v>
      </c>
      <c r="M16" s="207">
        <v>26000</v>
      </c>
      <c r="N16" s="376">
        <f t="shared" si="0"/>
        <v>1.04</v>
      </c>
      <c r="O16" s="524"/>
      <c r="S16" s="332"/>
      <c r="T16" s="333"/>
      <c r="U16" s="334"/>
      <c r="V16" s="332"/>
    </row>
    <row r="17" spans="1:22">
      <c r="A17" s="135"/>
      <c r="B17" s="135" t="s">
        <v>86</v>
      </c>
      <c r="C17" s="137">
        <f>SUM(C7:C16)</f>
        <v>32</v>
      </c>
      <c r="D17" s="137">
        <f t="shared" ref="D17:L17" si="1">SUM(D7:D16)</f>
        <v>36</v>
      </c>
      <c r="E17" s="137">
        <f>SUM(E7:E16)</f>
        <v>0</v>
      </c>
      <c r="F17" s="137">
        <f>SUM(F8:F16)</f>
        <v>0</v>
      </c>
      <c r="G17" s="137">
        <f t="shared" si="1"/>
        <v>0</v>
      </c>
      <c r="H17" s="136">
        <f t="shared" si="1"/>
        <v>0</v>
      </c>
      <c r="I17" s="136">
        <f t="shared" si="1"/>
        <v>18</v>
      </c>
      <c r="J17" s="136">
        <f t="shared" si="1"/>
        <v>93</v>
      </c>
      <c r="K17" s="137">
        <f t="shared" si="1"/>
        <v>85</v>
      </c>
      <c r="L17" s="136">
        <f t="shared" si="1"/>
        <v>36</v>
      </c>
      <c r="M17" s="201"/>
      <c r="N17" s="377">
        <f>SUM(N7:N16)</f>
        <v>11.760000000000002</v>
      </c>
      <c r="O17" s="331"/>
      <c r="S17" s="332"/>
      <c r="T17" s="332"/>
      <c r="U17" s="332"/>
      <c r="V17" s="332"/>
    </row>
    <row r="18" spans="1:22">
      <c r="S18" s="332"/>
      <c r="T18" s="333"/>
      <c r="U18" s="332"/>
      <c r="V18" s="332"/>
    </row>
  </sheetData>
  <mergeCells count="17">
    <mergeCell ref="A2:J2"/>
    <mergeCell ref="A3:A5"/>
    <mergeCell ref="B3:B5"/>
    <mergeCell ref="C3:C5"/>
    <mergeCell ref="D3:H3"/>
    <mergeCell ref="I3:N3"/>
    <mergeCell ref="H4:H5"/>
    <mergeCell ref="I4:K4"/>
    <mergeCell ref="L4:L5"/>
    <mergeCell ref="M4:M5"/>
    <mergeCell ref="N4:N5"/>
    <mergeCell ref="O8:O16"/>
    <mergeCell ref="O3:O5"/>
    <mergeCell ref="D4:D5"/>
    <mergeCell ref="E4:E5"/>
    <mergeCell ref="F4:F5"/>
    <mergeCell ref="G4:G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18"/>
  <sheetViews>
    <sheetView showGridLines="0" zoomScale="90" zoomScaleNormal="90" workbookViewId="0">
      <selection activeCell="R13" sqref="R13"/>
    </sheetView>
  </sheetViews>
  <sheetFormatPr defaultColWidth="9.140625" defaultRowHeight="15"/>
  <cols>
    <col min="1" max="1" width="9.85546875" style="129" customWidth="1"/>
    <col min="2" max="2" width="17" style="129" customWidth="1"/>
    <col min="3" max="5" width="8.5703125" style="129" customWidth="1"/>
    <col min="6" max="7" width="8.42578125" style="129" customWidth="1"/>
    <col min="8" max="10" width="10.140625" style="129" customWidth="1"/>
    <col min="11" max="11" width="9.7109375" style="129" customWidth="1"/>
    <col min="12" max="12" width="14.7109375" style="129" customWidth="1"/>
    <col min="13" max="13" width="13.28515625" style="129" customWidth="1"/>
    <col min="14" max="15" width="12.28515625" style="129" customWidth="1"/>
    <col min="16" max="17" width="13.42578125" style="129" customWidth="1"/>
    <col min="18" max="18" width="12.85546875" style="129" customWidth="1"/>
    <col min="19" max="19" width="11.140625" style="129" customWidth="1"/>
    <col min="20" max="20" width="10.140625" style="129" customWidth="1"/>
    <col min="21" max="21" width="16.28515625" style="129" customWidth="1"/>
    <col min="22" max="22" width="15.85546875" style="129" customWidth="1"/>
    <col min="23" max="23" width="12.7109375" style="129" bestFit="1" customWidth="1"/>
    <col min="24" max="16384" width="9.140625" style="129"/>
  </cols>
  <sheetData>
    <row r="1" spans="1:24" s="162" customFormat="1">
      <c r="A1" s="531" t="s">
        <v>433</v>
      </c>
      <c r="B1" s="532"/>
      <c r="C1" s="532"/>
      <c r="D1" s="532"/>
      <c r="E1" s="532"/>
      <c r="F1" s="532"/>
      <c r="G1" s="532"/>
      <c r="H1" s="532"/>
      <c r="I1" s="532"/>
      <c r="J1" s="532"/>
      <c r="K1" s="532"/>
      <c r="L1" s="158"/>
      <c r="M1" s="158"/>
      <c r="N1" s="158"/>
      <c r="O1" s="158"/>
      <c r="P1" s="158"/>
      <c r="Q1" s="158"/>
      <c r="R1" s="158"/>
      <c r="S1" s="158"/>
      <c r="T1" s="158"/>
      <c r="V1" s="163" t="s">
        <v>288</v>
      </c>
    </row>
    <row r="2" spans="1:24" s="162" customFormat="1" ht="15" customHeight="1">
      <c r="A2" s="426" t="s">
        <v>358</v>
      </c>
      <c r="B2" s="426"/>
      <c r="C2" s="426"/>
      <c r="D2" s="426"/>
      <c r="E2" s="426"/>
      <c r="F2" s="426"/>
      <c r="G2" s="426"/>
      <c r="H2" s="426"/>
      <c r="I2" s="426"/>
      <c r="J2" s="426"/>
      <c r="K2" s="426"/>
      <c r="L2" s="426"/>
      <c r="M2" s="426"/>
      <c r="N2" s="426"/>
      <c r="O2" s="426"/>
      <c r="P2" s="158"/>
      <c r="Q2" s="158"/>
      <c r="R2" s="158"/>
      <c r="S2" s="158"/>
      <c r="T2" s="158"/>
      <c r="V2" s="163"/>
    </row>
    <row r="3" spans="1:24" ht="38.25" customHeight="1">
      <c r="A3" s="487" t="s">
        <v>217</v>
      </c>
      <c r="B3" s="487" t="s">
        <v>184</v>
      </c>
      <c r="C3" s="476" t="s">
        <v>289</v>
      </c>
      <c r="D3" s="477"/>
      <c r="E3" s="477"/>
      <c r="F3" s="477"/>
      <c r="G3" s="477"/>
      <c r="H3" s="373"/>
      <c r="I3" s="373"/>
      <c r="J3" s="373"/>
      <c r="K3" s="476" t="s">
        <v>199</v>
      </c>
      <c r="L3" s="477"/>
      <c r="M3" s="477"/>
      <c r="N3" s="477"/>
      <c r="O3" s="478"/>
      <c r="P3" s="487" t="s">
        <v>429</v>
      </c>
      <c r="Q3" s="487"/>
      <c r="R3" s="487"/>
      <c r="S3" s="487"/>
      <c r="T3" s="487"/>
      <c r="U3" s="487"/>
      <c r="V3" s="474" t="s">
        <v>118</v>
      </c>
    </row>
    <row r="4" spans="1:24" ht="44.25" customHeight="1">
      <c r="A4" s="487"/>
      <c r="B4" s="487"/>
      <c r="C4" s="452" t="s">
        <v>290</v>
      </c>
      <c r="D4" s="529" t="s">
        <v>248</v>
      </c>
      <c r="E4" s="529" t="s">
        <v>247</v>
      </c>
      <c r="F4" s="452" t="s">
        <v>291</v>
      </c>
      <c r="G4" s="529" t="s">
        <v>380</v>
      </c>
      <c r="H4" s="452" t="s">
        <v>292</v>
      </c>
      <c r="I4" s="529" t="s">
        <v>381</v>
      </c>
      <c r="J4" s="452" t="s">
        <v>417</v>
      </c>
      <c r="K4" s="452" t="s">
        <v>276</v>
      </c>
      <c r="L4" s="452" t="s">
        <v>277</v>
      </c>
      <c r="M4" s="452" t="s">
        <v>122</v>
      </c>
      <c r="N4" s="452" t="s">
        <v>123</v>
      </c>
      <c r="O4" s="452" t="s">
        <v>124</v>
      </c>
      <c r="P4" s="452" t="s">
        <v>278</v>
      </c>
      <c r="Q4" s="452"/>
      <c r="R4" s="452"/>
      <c r="S4" s="529" t="s">
        <v>279</v>
      </c>
      <c r="T4" s="529" t="s">
        <v>285</v>
      </c>
      <c r="U4" s="529" t="s">
        <v>204</v>
      </c>
      <c r="V4" s="533"/>
    </row>
    <row r="5" spans="1:24" ht="45" customHeight="1">
      <c r="A5" s="487"/>
      <c r="B5" s="487"/>
      <c r="C5" s="452"/>
      <c r="D5" s="534"/>
      <c r="E5" s="534"/>
      <c r="F5" s="452"/>
      <c r="G5" s="534"/>
      <c r="H5" s="452"/>
      <c r="I5" s="534"/>
      <c r="J5" s="452"/>
      <c r="K5" s="452"/>
      <c r="L5" s="452"/>
      <c r="M5" s="452"/>
      <c r="N5" s="452"/>
      <c r="O5" s="452"/>
      <c r="P5" s="368" t="s">
        <v>293</v>
      </c>
      <c r="Q5" s="368" t="s">
        <v>382</v>
      </c>
      <c r="R5" s="368" t="s">
        <v>294</v>
      </c>
      <c r="S5" s="530"/>
      <c r="T5" s="530"/>
      <c r="U5" s="530"/>
      <c r="V5" s="475"/>
    </row>
    <row r="6" spans="1:24" ht="21" customHeight="1">
      <c r="A6" s="154"/>
      <c r="B6" s="154"/>
      <c r="C6" s="154"/>
      <c r="D6" s="154"/>
      <c r="E6" s="154"/>
      <c r="F6" s="154"/>
      <c r="G6" s="154"/>
      <c r="H6" s="154"/>
      <c r="I6" s="154"/>
      <c r="J6" s="154"/>
      <c r="K6" s="154"/>
      <c r="L6" s="154"/>
      <c r="M6" s="154"/>
      <c r="N6" s="154"/>
      <c r="O6" s="154"/>
      <c r="P6" s="154"/>
      <c r="Q6" s="154"/>
      <c r="R6" s="154"/>
      <c r="S6" s="154" t="s">
        <v>14</v>
      </c>
      <c r="T6" s="154" t="s">
        <v>15</v>
      </c>
      <c r="U6" s="154" t="s">
        <v>224</v>
      </c>
      <c r="V6" s="154"/>
    </row>
    <row r="7" spans="1:24" ht="77.25" thickBot="1">
      <c r="A7" s="8"/>
      <c r="B7" s="164" t="s">
        <v>138</v>
      </c>
      <c r="C7" s="8"/>
      <c r="D7" s="8"/>
      <c r="E7" s="8"/>
      <c r="F7" s="8"/>
      <c r="G7" s="8"/>
      <c r="H7" s="8"/>
      <c r="I7" s="8"/>
      <c r="J7" s="8"/>
      <c r="K7" s="165"/>
      <c r="L7" s="165"/>
      <c r="M7" s="8"/>
      <c r="N7" s="165"/>
      <c r="O7" s="166"/>
      <c r="P7" s="8"/>
      <c r="Q7" s="8"/>
      <c r="R7" s="8"/>
      <c r="S7" s="8"/>
      <c r="T7" s="8"/>
      <c r="U7" s="306"/>
      <c r="V7" s="10"/>
      <c r="W7" s="324"/>
      <c r="X7" s="324"/>
    </row>
    <row r="8" spans="1:24" ht="16.5" thickBot="1">
      <c r="A8" s="8"/>
      <c r="B8" s="64" t="s">
        <v>361</v>
      </c>
      <c r="C8" s="207">
        <v>4</v>
      </c>
      <c r="D8" s="207">
        <v>0</v>
      </c>
      <c r="E8" s="207">
        <v>2</v>
      </c>
      <c r="F8" s="304">
        <v>7</v>
      </c>
      <c r="G8" s="304">
        <v>3</v>
      </c>
      <c r="H8" s="304">
        <v>57</v>
      </c>
      <c r="I8" s="207">
        <v>35</v>
      </c>
      <c r="J8" s="207">
        <f>G8+F8+E8+D8</f>
        <v>12</v>
      </c>
      <c r="K8" s="207">
        <v>144</v>
      </c>
      <c r="L8" s="146">
        <v>0</v>
      </c>
      <c r="M8" s="207">
        <v>2.2000000000000002</v>
      </c>
      <c r="N8" s="307">
        <v>0</v>
      </c>
      <c r="O8" s="207">
        <v>2.2000000000000002</v>
      </c>
      <c r="P8" s="307">
        <v>0</v>
      </c>
      <c r="Q8" s="207">
        <v>20</v>
      </c>
      <c r="R8" s="238">
        <f t="shared" ref="R8:R16" si="0">I8+H8</f>
        <v>92</v>
      </c>
      <c r="S8" s="207">
        <v>144</v>
      </c>
      <c r="T8" s="351">
        <v>1800</v>
      </c>
      <c r="U8" s="360">
        <f>S8*T8/100000</f>
        <v>2.5920000000000001</v>
      </c>
      <c r="V8" s="10"/>
      <c r="W8" s="325"/>
      <c r="X8" s="361"/>
    </row>
    <row r="9" spans="1:24" ht="16.5" thickBot="1">
      <c r="A9" s="8"/>
      <c r="B9" s="268" t="s">
        <v>362</v>
      </c>
      <c r="C9" s="207">
        <v>3</v>
      </c>
      <c r="D9" s="207">
        <v>1</v>
      </c>
      <c r="E9" s="207">
        <v>0</v>
      </c>
      <c r="F9" s="304">
        <v>4</v>
      </c>
      <c r="G9" s="304">
        <v>3</v>
      </c>
      <c r="H9" s="304">
        <v>37</v>
      </c>
      <c r="I9" s="207">
        <v>33</v>
      </c>
      <c r="J9" s="207">
        <f>G9+F9+E9+D9</f>
        <v>8</v>
      </c>
      <c r="K9" s="207">
        <v>96</v>
      </c>
      <c r="L9" s="146">
        <v>0</v>
      </c>
      <c r="M9" s="207">
        <v>1.8</v>
      </c>
      <c r="N9" s="307">
        <v>0</v>
      </c>
      <c r="O9" s="207">
        <v>1.8</v>
      </c>
      <c r="P9" s="307">
        <v>0</v>
      </c>
      <c r="Q9" s="207">
        <v>16</v>
      </c>
      <c r="R9" s="238">
        <f t="shared" si="0"/>
        <v>70</v>
      </c>
      <c r="S9" s="207">
        <v>96</v>
      </c>
      <c r="T9" s="351">
        <v>1800</v>
      </c>
      <c r="U9" s="360">
        <f t="shared" ref="U9:U16" si="1">S9*T9/100000</f>
        <v>1.728</v>
      </c>
      <c r="V9" s="10"/>
      <c r="W9" s="325"/>
      <c r="X9" s="361"/>
    </row>
    <row r="10" spans="1:24" ht="16.5" thickBot="1">
      <c r="A10" s="8"/>
      <c r="B10" s="268" t="s">
        <v>363</v>
      </c>
      <c r="C10" s="207">
        <v>6</v>
      </c>
      <c r="D10" s="207">
        <v>0</v>
      </c>
      <c r="E10" s="207">
        <v>2</v>
      </c>
      <c r="F10" s="304">
        <v>12</v>
      </c>
      <c r="G10" s="304">
        <v>0</v>
      </c>
      <c r="H10" s="304">
        <v>59</v>
      </c>
      <c r="I10" s="207">
        <v>27</v>
      </c>
      <c r="J10" s="207">
        <v>15</v>
      </c>
      <c r="K10" s="207">
        <v>180</v>
      </c>
      <c r="L10" s="146">
        <v>0</v>
      </c>
      <c r="M10" s="207">
        <v>2.5</v>
      </c>
      <c r="N10" s="307">
        <v>0</v>
      </c>
      <c r="O10" s="207">
        <v>2.5</v>
      </c>
      <c r="P10" s="307">
        <v>0</v>
      </c>
      <c r="Q10" s="207">
        <v>27</v>
      </c>
      <c r="R10" s="238">
        <f t="shared" si="0"/>
        <v>86</v>
      </c>
      <c r="S10" s="207">
        <v>180</v>
      </c>
      <c r="T10" s="351">
        <v>1800</v>
      </c>
      <c r="U10" s="360">
        <f t="shared" si="1"/>
        <v>3.24</v>
      </c>
      <c r="V10" s="10"/>
      <c r="W10" s="325"/>
      <c r="X10" s="361"/>
    </row>
    <row r="11" spans="1:24" ht="16.5" thickBot="1">
      <c r="A11" s="8"/>
      <c r="B11" s="64" t="s">
        <v>364</v>
      </c>
      <c r="C11" s="207">
        <v>3</v>
      </c>
      <c r="D11" s="207">
        <v>0</v>
      </c>
      <c r="E11" s="207">
        <v>1</v>
      </c>
      <c r="F11" s="304">
        <v>5</v>
      </c>
      <c r="G11" s="304">
        <v>0</v>
      </c>
      <c r="H11" s="304">
        <v>26</v>
      </c>
      <c r="I11" s="207">
        <v>9</v>
      </c>
      <c r="J11" s="207">
        <v>7</v>
      </c>
      <c r="K11" s="207">
        <v>84</v>
      </c>
      <c r="L11" s="146">
        <v>0</v>
      </c>
      <c r="M11" s="207">
        <v>1.3</v>
      </c>
      <c r="N11" s="307">
        <v>0</v>
      </c>
      <c r="O11" s="207">
        <v>1.3</v>
      </c>
      <c r="P11" s="307">
        <v>0</v>
      </c>
      <c r="Q11" s="207">
        <v>14</v>
      </c>
      <c r="R11" s="238">
        <f t="shared" si="0"/>
        <v>35</v>
      </c>
      <c r="S11" s="207">
        <v>84</v>
      </c>
      <c r="T11" s="351">
        <v>1800</v>
      </c>
      <c r="U11" s="360">
        <f t="shared" si="1"/>
        <v>1.512</v>
      </c>
      <c r="V11" s="10"/>
      <c r="W11" s="359"/>
      <c r="X11" s="361"/>
    </row>
    <row r="12" spans="1:24" ht="16.5" thickBot="1">
      <c r="A12" s="8"/>
      <c r="B12" s="269" t="s">
        <v>365</v>
      </c>
      <c r="C12" s="207">
        <v>4</v>
      </c>
      <c r="D12" s="207">
        <v>0</v>
      </c>
      <c r="E12" s="207">
        <v>1</v>
      </c>
      <c r="F12" s="304">
        <v>5</v>
      </c>
      <c r="G12" s="304">
        <v>0</v>
      </c>
      <c r="H12" s="304">
        <v>37</v>
      </c>
      <c r="I12" s="207">
        <v>4</v>
      </c>
      <c r="J12" s="207">
        <v>7</v>
      </c>
      <c r="K12" s="207">
        <v>84</v>
      </c>
      <c r="L12" s="146">
        <v>0</v>
      </c>
      <c r="M12" s="207">
        <v>1.3</v>
      </c>
      <c r="N12" s="307">
        <v>0</v>
      </c>
      <c r="O12" s="207">
        <v>1.3</v>
      </c>
      <c r="P12" s="307">
        <v>0</v>
      </c>
      <c r="Q12" s="207">
        <v>14</v>
      </c>
      <c r="R12" s="238">
        <f t="shared" si="0"/>
        <v>41</v>
      </c>
      <c r="S12" s="207">
        <v>84</v>
      </c>
      <c r="T12" s="351">
        <v>1800</v>
      </c>
      <c r="U12" s="360">
        <f t="shared" si="1"/>
        <v>1.512</v>
      </c>
      <c r="V12" s="10"/>
      <c r="W12" s="359"/>
      <c r="X12" s="361"/>
    </row>
    <row r="13" spans="1:24" ht="75.75" thickBot="1">
      <c r="A13" s="8"/>
      <c r="B13" s="269" t="s">
        <v>366</v>
      </c>
      <c r="C13" s="238">
        <v>4</v>
      </c>
      <c r="D13" s="238">
        <v>1</v>
      </c>
      <c r="E13" s="238">
        <v>1</v>
      </c>
      <c r="F13" s="304">
        <v>10</v>
      </c>
      <c r="G13" s="304">
        <v>2</v>
      </c>
      <c r="H13" s="304">
        <v>70</v>
      </c>
      <c r="I13" s="238">
        <v>16</v>
      </c>
      <c r="J13" s="207">
        <f t="shared" ref="J13" si="2">G13+F13+E13+D13</f>
        <v>14</v>
      </c>
      <c r="K13" s="207">
        <v>168</v>
      </c>
      <c r="L13" s="357">
        <v>0</v>
      </c>
      <c r="M13" s="238">
        <v>2.7</v>
      </c>
      <c r="N13" s="358">
        <v>0</v>
      </c>
      <c r="O13" s="238">
        <v>2.7</v>
      </c>
      <c r="P13" s="358">
        <v>0</v>
      </c>
      <c r="Q13" s="238">
        <v>28</v>
      </c>
      <c r="R13" s="238">
        <f t="shared" si="0"/>
        <v>86</v>
      </c>
      <c r="S13" s="207">
        <v>168</v>
      </c>
      <c r="T13" s="351">
        <v>1800</v>
      </c>
      <c r="U13" s="360">
        <f t="shared" si="1"/>
        <v>3.024</v>
      </c>
      <c r="V13" s="10" t="s">
        <v>434</v>
      </c>
      <c r="W13" s="359"/>
      <c r="X13" s="361"/>
    </row>
    <row r="14" spans="1:24" ht="16.5" thickBot="1">
      <c r="A14" s="8"/>
      <c r="B14" s="269" t="s">
        <v>367</v>
      </c>
      <c r="C14" s="207">
        <v>3</v>
      </c>
      <c r="D14" s="207">
        <v>0</v>
      </c>
      <c r="E14" s="207">
        <v>1</v>
      </c>
      <c r="F14" s="304">
        <v>8</v>
      </c>
      <c r="G14" s="304">
        <v>0</v>
      </c>
      <c r="H14" s="304">
        <v>33</v>
      </c>
      <c r="I14" s="207">
        <v>8</v>
      </c>
      <c r="J14" s="207">
        <v>10</v>
      </c>
      <c r="K14" s="207">
        <v>120</v>
      </c>
      <c r="L14" s="146">
        <v>0</v>
      </c>
      <c r="M14" s="207">
        <v>1.3</v>
      </c>
      <c r="N14" s="307">
        <v>0</v>
      </c>
      <c r="O14" s="207">
        <v>1.3</v>
      </c>
      <c r="P14" s="307">
        <v>0</v>
      </c>
      <c r="Q14" s="207">
        <v>19</v>
      </c>
      <c r="R14" s="238">
        <f t="shared" si="0"/>
        <v>41</v>
      </c>
      <c r="S14" s="207">
        <v>120</v>
      </c>
      <c r="T14" s="351">
        <v>1800</v>
      </c>
      <c r="U14" s="360">
        <f t="shared" si="1"/>
        <v>2.16</v>
      </c>
      <c r="V14" s="10"/>
      <c r="W14" s="359"/>
      <c r="X14" s="361"/>
    </row>
    <row r="15" spans="1:24" ht="16.5" thickBot="1">
      <c r="A15" s="8"/>
      <c r="B15" s="64" t="s">
        <v>368</v>
      </c>
      <c r="C15" s="207">
        <v>2</v>
      </c>
      <c r="D15" s="207">
        <v>0</v>
      </c>
      <c r="E15" s="207">
        <v>0</v>
      </c>
      <c r="F15" s="304">
        <v>4</v>
      </c>
      <c r="G15" s="304">
        <v>0</v>
      </c>
      <c r="H15" s="304">
        <v>24</v>
      </c>
      <c r="I15" s="207">
        <v>11</v>
      </c>
      <c r="J15" s="207">
        <v>5</v>
      </c>
      <c r="K15" s="207">
        <v>60</v>
      </c>
      <c r="L15" s="146">
        <v>0</v>
      </c>
      <c r="M15" s="207">
        <v>1</v>
      </c>
      <c r="N15" s="307">
        <v>0</v>
      </c>
      <c r="O15" s="207">
        <v>1</v>
      </c>
      <c r="P15" s="307">
        <v>0</v>
      </c>
      <c r="Q15" s="207">
        <v>19</v>
      </c>
      <c r="R15" s="238">
        <f t="shared" si="0"/>
        <v>35</v>
      </c>
      <c r="S15" s="207">
        <v>60</v>
      </c>
      <c r="T15" s="351">
        <v>1800</v>
      </c>
      <c r="U15" s="360">
        <f t="shared" si="1"/>
        <v>1.08</v>
      </c>
      <c r="V15" s="10"/>
      <c r="W15" s="359"/>
      <c r="X15" s="361"/>
    </row>
    <row r="16" spans="1:24" ht="16.5" thickBot="1">
      <c r="A16" s="8"/>
      <c r="B16" s="147" t="s">
        <v>369</v>
      </c>
      <c r="C16" s="207">
        <v>3</v>
      </c>
      <c r="D16" s="207">
        <v>0</v>
      </c>
      <c r="E16" s="207">
        <v>1</v>
      </c>
      <c r="F16" s="304">
        <v>5</v>
      </c>
      <c r="G16" s="304">
        <v>0</v>
      </c>
      <c r="H16" s="304">
        <v>27</v>
      </c>
      <c r="I16" s="207">
        <v>6</v>
      </c>
      <c r="J16" s="207">
        <v>7</v>
      </c>
      <c r="K16" s="207">
        <v>84</v>
      </c>
      <c r="L16" s="146">
        <v>0</v>
      </c>
      <c r="M16" s="207">
        <v>1</v>
      </c>
      <c r="N16" s="307">
        <v>0</v>
      </c>
      <c r="O16" s="207">
        <v>1</v>
      </c>
      <c r="P16" s="307">
        <v>0</v>
      </c>
      <c r="Q16" s="207">
        <v>13</v>
      </c>
      <c r="R16" s="238">
        <f t="shared" si="0"/>
        <v>33</v>
      </c>
      <c r="S16" s="207">
        <v>84</v>
      </c>
      <c r="T16" s="351">
        <v>1800</v>
      </c>
      <c r="U16" s="360">
        <f t="shared" si="1"/>
        <v>1.512</v>
      </c>
      <c r="V16" s="10"/>
      <c r="W16" s="359"/>
      <c r="X16" s="361"/>
    </row>
    <row r="17" spans="1:24" ht="16.5" thickBot="1">
      <c r="A17" s="167"/>
      <c r="B17" s="167" t="s">
        <v>86</v>
      </c>
      <c r="C17" s="137">
        <f>SUM(C7:C16)</f>
        <v>32</v>
      </c>
      <c r="D17" s="168">
        <f t="shared" ref="D17:K17" si="3">SUM(D8:D16)</f>
        <v>2</v>
      </c>
      <c r="E17" s="168">
        <f t="shared" si="3"/>
        <v>9</v>
      </c>
      <c r="F17" s="250">
        <f t="shared" si="3"/>
        <v>60</v>
      </c>
      <c r="G17" s="250">
        <f t="shared" si="3"/>
        <v>8</v>
      </c>
      <c r="H17" s="250">
        <f t="shared" si="3"/>
        <v>370</v>
      </c>
      <c r="I17" s="208">
        <f t="shared" si="3"/>
        <v>149</v>
      </c>
      <c r="J17" s="207">
        <f>SUM(J8:J16)</f>
        <v>85</v>
      </c>
      <c r="K17" s="251">
        <f t="shared" si="3"/>
        <v>1020</v>
      </c>
      <c r="L17" s="146">
        <v>0</v>
      </c>
      <c r="M17" s="210">
        <f>SUM(M8:M16)</f>
        <v>15.100000000000001</v>
      </c>
      <c r="N17" s="308">
        <v>0</v>
      </c>
      <c r="O17" s="210">
        <f>SUM(O8:O16)</f>
        <v>15.100000000000001</v>
      </c>
      <c r="P17" s="308">
        <v>0</v>
      </c>
      <c r="Q17" s="305"/>
      <c r="R17" s="238"/>
      <c r="S17" s="251">
        <f t="shared" ref="S17" si="4">SUM(S8:S16)</f>
        <v>1020</v>
      </c>
      <c r="T17" s="203"/>
      <c r="U17" s="360">
        <f>SUM(U8:U16)</f>
        <v>18.36</v>
      </c>
      <c r="V17" s="341"/>
      <c r="W17" s="342"/>
      <c r="X17" s="324"/>
    </row>
    <row r="18" spans="1:24">
      <c r="W18" s="324"/>
      <c r="X18" s="324"/>
    </row>
  </sheetData>
  <mergeCells count="25">
    <mergeCell ref="A2:O2"/>
    <mergeCell ref="A3:A5"/>
    <mergeCell ref="B3:B5"/>
    <mergeCell ref="C3:G3"/>
    <mergeCell ref="K3:O3"/>
    <mergeCell ref="G4:G5"/>
    <mergeCell ref="H4:H5"/>
    <mergeCell ref="I4:I5"/>
    <mergeCell ref="J4:J5"/>
    <mergeCell ref="A1:K1"/>
    <mergeCell ref="V3:V5"/>
    <mergeCell ref="C4:C5"/>
    <mergeCell ref="F4:F5"/>
    <mergeCell ref="K4:K5"/>
    <mergeCell ref="P3:U3"/>
    <mergeCell ref="T4:T5"/>
    <mergeCell ref="U4:U5"/>
    <mergeCell ref="L4:L5"/>
    <mergeCell ref="M4:M5"/>
    <mergeCell ref="N4:N5"/>
    <mergeCell ref="O4:O5"/>
    <mergeCell ref="P4:R4"/>
    <mergeCell ref="S4:S5"/>
    <mergeCell ref="D4:D5"/>
    <mergeCell ref="E4:E5"/>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workbookViewId="0">
      <selection activeCell="E4" sqref="E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c r="A3" s="401">
        <v>6</v>
      </c>
      <c r="B3" s="401"/>
      <c r="C3" s="16" t="s">
        <v>295</v>
      </c>
      <c r="D3" s="17"/>
      <c r="E3" s="18"/>
    </row>
    <row r="4" spans="1:5" ht="38.25" customHeight="1">
      <c r="A4" s="18"/>
      <c r="B4" s="19"/>
      <c r="C4" s="169" t="s">
        <v>295</v>
      </c>
      <c r="D4" s="21"/>
      <c r="E4" s="21" t="s">
        <v>296</v>
      </c>
    </row>
  </sheetData>
  <mergeCells count="3">
    <mergeCell ref="A1:D1"/>
    <mergeCell ref="A2:B2"/>
    <mergeCell ref="A3:B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6"/>
  <sheetViews>
    <sheetView showGridLines="0" topLeftCell="A10" workbookViewId="0">
      <selection activeCell="I15" sqref="I15"/>
    </sheetView>
  </sheetViews>
  <sheetFormatPr defaultColWidth="9.140625" defaultRowHeight="15"/>
  <cols>
    <col min="1" max="1" width="8" style="129" customWidth="1"/>
    <col min="2" max="2" width="14.7109375" style="129" customWidth="1"/>
    <col min="3" max="4" width="13.85546875" style="125" customWidth="1"/>
    <col min="5" max="5" width="12.28515625" style="125" customWidth="1"/>
    <col min="6" max="6" width="13.42578125" style="129" customWidth="1"/>
    <col min="7" max="8" width="12.85546875" style="129" customWidth="1"/>
    <col min="9" max="9" width="14.42578125" style="129" customWidth="1"/>
    <col min="10" max="10" width="66.5703125" style="129" customWidth="1"/>
    <col min="11" max="16384" width="9.140625" style="125"/>
  </cols>
  <sheetData>
    <row r="1" spans="1:10">
      <c r="A1" s="538" t="s">
        <v>435</v>
      </c>
      <c r="B1" s="539"/>
      <c r="C1" s="539"/>
      <c r="D1" s="539"/>
      <c r="E1" s="539"/>
      <c r="F1" s="539"/>
      <c r="G1" s="539"/>
      <c r="H1" s="539"/>
      <c r="I1" s="539"/>
      <c r="J1" s="539"/>
    </row>
    <row r="2" spans="1:10">
      <c r="A2" s="540" t="s">
        <v>353</v>
      </c>
      <c r="B2" s="540"/>
      <c r="C2" s="540"/>
      <c r="D2" s="540"/>
      <c r="E2" s="540"/>
      <c r="F2" s="540"/>
      <c r="G2" s="540"/>
      <c r="H2" s="540"/>
      <c r="I2" s="540"/>
      <c r="J2" s="540"/>
    </row>
    <row r="3" spans="1:10" ht="38.25" customHeight="1">
      <c r="A3" s="533" t="s">
        <v>0</v>
      </c>
      <c r="B3" s="533" t="s">
        <v>297</v>
      </c>
      <c r="C3" s="527" t="s">
        <v>136</v>
      </c>
      <c r="D3" s="527"/>
      <c r="E3" s="527"/>
      <c r="F3" s="527" t="s">
        <v>436</v>
      </c>
      <c r="G3" s="527"/>
      <c r="H3" s="527"/>
      <c r="I3" s="527"/>
      <c r="J3" s="541" t="s">
        <v>118</v>
      </c>
    </row>
    <row r="4" spans="1:10" ht="28.5" customHeight="1">
      <c r="A4" s="533"/>
      <c r="B4" s="533"/>
      <c r="C4" s="529" t="s">
        <v>122</v>
      </c>
      <c r="D4" s="529" t="s">
        <v>123</v>
      </c>
      <c r="E4" s="529" t="s">
        <v>124</v>
      </c>
      <c r="F4" s="452" t="s">
        <v>298</v>
      </c>
      <c r="G4" s="452"/>
      <c r="H4" s="452"/>
      <c r="I4" s="529" t="s">
        <v>204</v>
      </c>
      <c r="J4" s="541"/>
    </row>
    <row r="5" spans="1:10" ht="51.75" customHeight="1">
      <c r="A5" s="533"/>
      <c r="B5" s="533"/>
      <c r="C5" s="530" t="s">
        <v>299</v>
      </c>
      <c r="D5" s="530" t="s">
        <v>300</v>
      </c>
      <c r="E5" s="530" t="s">
        <v>301</v>
      </c>
      <c r="F5" s="368" t="s">
        <v>302</v>
      </c>
      <c r="G5" s="368" t="s">
        <v>303</v>
      </c>
      <c r="H5" s="368" t="s">
        <v>437</v>
      </c>
      <c r="I5" s="530"/>
      <c r="J5" s="542"/>
    </row>
    <row r="6" spans="1:10" s="129" customFormat="1" ht="21" customHeight="1">
      <c r="A6" s="211"/>
      <c r="B6" s="211" t="s">
        <v>14</v>
      </c>
      <c r="C6" s="211"/>
      <c r="D6" s="211"/>
      <c r="E6" s="211"/>
      <c r="F6" s="211" t="s">
        <v>15</v>
      </c>
      <c r="G6" s="211" t="s">
        <v>16</v>
      </c>
      <c r="H6" s="211" t="s">
        <v>147</v>
      </c>
      <c r="I6" s="211" t="s">
        <v>438</v>
      </c>
      <c r="J6" s="211"/>
    </row>
    <row r="7" spans="1:10" s="129" customFormat="1" ht="42" customHeight="1" thickBot="1">
      <c r="A7" s="211">
        <v>1</v>
      </c>
      <c r="B7" s="381" t="s">
        <v>439</v>
      </c>
      <c r="C7" s="379">
        <v>0.73</v>
      </c>
      <c r="D7" s="379">
        <v>0</v>
      </c>
      <c r="E7" s="379">
        <v>0.73</v>
      </c>
      <c r="F7" s="382">
        <v>0.28000000000000003</v>
      </c>
      <c r="G7" s="379">
        <v>0.59</v>
      </c>
      <c r="H7" s="379">
        <v>0.14000000000000001</v>
      </c>
      <c r="I7" s="383">
        <f>SUM(F7:H7)</f>
        <v>1.01</v>
      </c>
      <c r="J7" s="535" t="s">
        <v>440</v>
      </c>
    </row>
    <row r="8" spans="1:10" ht="42" customHeight="1" thickBot="1">
      <c r="A8" s="211">
        <v>2</v>
      </c>
      <c r="B8" s="381" t="s">
        <v>441</v>
      </c>
      <c r="C8" s="379">
        <v>0.51</v>
      </c>
      <c r="D8" s="379">
        <v>0</v>
      </c>
      <c r="E8" s="379">
        <v>0.51</v>
      </c>
      <c r="F8" s="382">
        <v>0.27</v>
      </c>
      <c r="G8" s="379">
        <v>0.51</v>
      </c>
      <c r="H8" s="379">
        <v>0</v>
      </c>
      <c r="I8" s="383">
        <f t="shared" ref="I8:I16" si="0">SUM(F8:H8)</f>
        <v>0.78</v>
      </c>
      <c r="J8" s="536"/>
    </row>
    <row r="9" spans="1:10" s="162" customFormat="1" ht="42" customHeight="1" thickBot="1">
      <c r="A9" s="211">
        <v>3</v>
      </c>
      <c r="B9" s="381" t="s">
        <v>363</v>
      </c>
      <c r="C9" s="379">
        <v>0.89</v>
      </c>
      <c r="D9" s="379">
        <v>0</v>
      </c>
      <c r="E9" s="379">
        <v>0.89</v>
      </c>
      <c r="F9" s="382">
        <v>1.05</v>
      </c>
      <c r="G9" s="379">
        <v>0.6</v>
      </c>
      <c r="H9" s="379">
        <v>0.28999999999999998</v>
      </c>
      <c r="I9" s="383">
        <f t="shared" si="0"/>
        <v>1.94</v>
      </c>
      <c r="J9" s="536"/>
    </row>
    <row r="10" spans="1:10" s="162" customFormat="1" ht="42" customHeight="1" thickBot="1">
      <c r="A10" s="211">
        <v>4</v>
      </c>
      <c r="B10" s="381" t="s">
        <v>364</v>
      </c>
      <c r="C10" s="379">
        <v>0.41</v>
      </c>
      <c r="D10" s="379">
        <v>0</v>
      </c>
      <c r="E10" s="379">
        <v>0.41</v>
      </c>
      <c r="F10" s="382">
        <v>0.56000000000000005</v>
      </c>
      <c r="G10" s="379">
        <v>0.41</v>
      </c>
      <c r="H10" s="379">
        <v>0</v>
      </c>
      <c r="I10" s="383">
        <f t="shared" si="0"/>
        <v>0.97</v>
      </c>
      <c r="J10" s="536"/>
    </row>
    <row r="11" spans="1:10" s="162" customFormat="1" ht="42" customHeight="1" thickBot="1">
      <c r="A11" s="211">
        <v>5</v>
      </c>
      <c r="B11" s="381" t="s">
        <v>365</v>
      </c>
      <c r="C11" s="379">
        <v>1.29</v>
      </c>
      <c r="D11" s="379">
        <v>0</v>
      </c>
      <c r="E11" s="379">
        <v>1.29</v>
      </c>
      <c r="F11" s="382">
        <v>0.75</v>
      </c>
      <c r="G11" s="379">
        <v>0.47</v>
      </c>
      <c r="H11" s="379">
        <v>0.82</v>
      </c>
      <c r="I11" s="383">
        <f t="shared" si="0"/>
        <v>2.04</v>
      </c>
      <c r="J11" s="536"/>
    </row>
    <row r="12" spans="1:10" s="162" customFormat="1" ht="42" customHeight="1" thickBot="1">
      <c r="A12" s="211">
        <v>6</v>
      </c>
      <c r="B12" s="381" t="s">
        <v>366</v>
      </c>
      <c r="C12" s="379">
        <v>1.28</v>
      </c>
      <c r="D12" s="379">
        <v>0</v>
      </c>
      <c r="E12" s="379">
        <v>1.28</v>
      </c>
      <c r="F12" s="382">
        <v>1.23</v>
      </c>
      <c r="G12" s="379">
        <v>0.67</v>
      </c>
      <c r="H12" s="379">
        <v>0.94</v>
      </c>
      <c r="I12" s="383">
        <f t="shared" si="0"/>
        <v>2.84</v>
      </c>
      <c r="J12" s="536"/>
    </row>
    <row r="13" spans="1:10" ht="42" customHeight="1" thickBot="1">
      <c r="A13" s="211">
        <v>7</v>
      </c>
      <c r="B13" s="381" t="s">
        <v>367</v>
      </c>
      <c r="C13" s="379">
        <v>1.1200000000000001</v>
      </c>
      <c r="D13" s="379">
        <v>0</v>
      </c>
      <c r="E13" s="379">
        <v>1.1200000000000001</v>
      </c>
      <c r="F13" s="382">
        <v>0.59</v>
      </c>
      <c r="G13" s="379">
        <v>0.45</v>
      </c>
      <c r="H13" s="379">
        <v>0.67</v>
      </c>
      <c r="I13" s="383">
        <f t="shared" si="0"/>
        <v>1.71</v>
      </c>
      <c r="J13" s="536"/>
    </row>
    <row r="14" spans="1:10" ht="42" customHeight="1" thickBot="1">
      <c r="A14" s="211">
        <v>8</v>
      </c>
      <c r="B14" s="384" t="s">
        <v>368</v>
      </c>
      <c r="C14" s="385">
        <v>0.91</v>
      </c>
      <c r="D14" s="385">
        <v>0</v>
      </c>
      <c r="E14" s="385">
        <v>0.91</v>
      </c>
      <c r="F14" s="386">
        <v>0.76</v>
      </c>
      <c r="G14" s="385">
        <v>0.39</v>
      </c>
      <c r="H14" s="385">
        <v>0.52</v>
      </c>
      <c r="I14" s="383">
        <f t="shared" si="0"/>
        <v>1.67</v>
      </c>
      <c r="J14" s="536"/>
    </row>
    <row r="15" spans="1:10" ht="42" customHeight="1" thickBot="1">
      <c r="A15" s="211"/>
      <c r="B15" s="387" t="s">
        <v>369</v>
      </c>
      <c r="C15" s="379">
        <v>0.66</v>
      </c>
      <c r="D15" s="379">
        <v>0</v>
      </c>
      <c r="E15" s="379">
        <v>0.66</v>
      </c>
      <c r="F15" s="388">
        <v>0.59</v>
      </c>
      <c r="G15" s="379">
        <v>0.41</v>
      </c>
      <c r="H15" s="379">
        <v>0.25</v>
      </c>
      <c r="I15" s="383">
        <f t="shared" si="0"/>
        <v>1.25</v>
      </c>
      <c r="J15" s="537"/>
    </row>
    <row r="16" spans="1:10" ht="16.5" thickBot="1">
      <c r="A16" s="389" t="s">
        <v>86</v>
      </c>
      <c r="B16" s="211">
        <v>9</v>
      </c>
      <c r="C16" s="390">
        <f>SUM(C7:C15)</f>
        <v>7.8000000000000007</v>
      </c>
      <c r="D16" s="379">
        <v>0</v>
      </c>
      <c r="E16" s="390">
        <f>SUM(E7:E15)</f>
        <v>7.8000000000000007</v>
      </c>
      <c r="F16" s="391">
        <v>6.08</v>
      </c>
      <c r="G16" s="380">
        <v>4.5</v>
      </c>
      <c r="H16" s="380">
        <v>3.63</v>
      </c>
      <c r="I16" s="383">
        <f t="shared" si="0"/>
        <v>14.21</v>
      </c>
      <c r="J16" s="392"/>
    </row>
  </sheetData>
  <mergeCells count="13">
    <mergeCell ref="J7:J15"/>
    <mergeCell ref="A1:J1"/>
    <mergeCell ref="F4:H4"/>
    <mergeCell ref="A2:J2"/>
    <mergeCell ref="A3:A5"/>
    <mergeCell ref="B3:B5"/>
    <mergeCell ref="C3:E3"/>
    <mergeCell ref="F3:I3"/>
    <mergeCell ref="J3:J5"/>
    <mergeCell ref="C4:C5"/>
    <mergeCell ref="D4:D5"/>
    <mergeCell ref="E4:E5"/>
    <mergeCell ref="I4:I5"/>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5"/>
  <sheetViews>
    <sheetView zoomScale="90" zoomScaleNormal="90" workbookViewId="0">
      <selection activeCell="D4" sqref="D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c r="A3" s="401">
        <v>7</v>
      </c>
      <c r="B3" s="401"/>
      <c r="C3" s="16" t="s">
        <v>304</v>
      </c>
      <c r="D3" s="17"/>
      <c r="E3" s="18"/>
    </row>
    <row r="4" spans="1:5" ht="177.75" customHeight="1">
      <c r="A4" s="18"/>
      <c r="B4" s="19" t="s">
        <v>14</v>
      </c>
      <c r="C4" s="23" t="s">
        <v>305</v>
      </c>
      <c r="D4" s="21"/>
      <c r="E4" s="111" t="s">
        <v>306</v>
      </c>
    </row>
    <row r="5" spans="1:5" ht="158.25" customHeight="1">
      <c r="A5" s="18"/>
      <c r="B5" s="19" t="s">
        <v>15</v>
      </c>
      <c r="C5" s="18" t="s">
        <v>304</v>
      </c>
      <c r="D5" s="21"/>
      <c r="E5" s="111" t="s">
        <v>307</v>
      </c>
    </row>
  </sheetData>
  <mergeCells count="3">
    <mergeCell ref="A1:D1"/>
    <mergeCell ref="A2:B2"/>
    <mergeCell ref="A3:B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33"/>
  <sheetViews>
    <sheetView showGridLines="0" topLeftCell="A13" workbookViewId="0">
      <selection activeCell="M37" sqref="M37"/>
    </sheetView>
  </sheetViews>
  <sheetFormatPr defaultColWidth="9.140625" defaultRowHeight="12.75"/>
  <cols>
    <col min="1" max="1" width="9.140625" style="30"/>
    <col min="2" max="2" width="22.28515625" style="30" customWidth="1"/>
    <col min="3" max="3" width="10.85546875" style="31" customWidth="1"/>
    <col min="4" max="4" width="12" style="30" customWidth="1"/>
    <col min="5" max="5" width="11.42578125" style="32" bestFit="1" customWidth="1"/>
    <col min="6" max="6" width="11.5703125" style="32" bestFit="1" customWidth="1"/>
    <col min="7" max="7" width="11.140625" style="32" bestFit="1" customWidth="1"/>
    <col min="8" max="8" width="14" style="32" customWidth="1"/>
    <col min="9" max="9" width="11" style="31" customWidth="1"/>
    <col min="10" max="10" width="12" style="30" customWidth="1"/>
    <col min="11" max="11" width="15" style="33" customWidth="1"/>
    <col min="12" max="13" width="13.28515625" style="30" customWidth="1"/>
    <col min="14" max="14" width="22.7109375" style="30" customWidth="1"/>
    <col min="15" max="16384" width="9.140625" style="30"/>
  </cols>
  <sheetData>
    <row r="1" spans="1:17" ht="17.25" customHeight="1">
      <c r="A1" s="29" t="s">
        <v>114</v>
      </c>
      <c r="M1" s="57"/>
      <c r="N1" s="57"/>
    </row>
    <row r="2" spans="1:17" ht="17.25" customHeight="1">
      <c r="A2" s="196" t="s">
        <v>353</v>
      </c>
      <c r="M2" s="57"/>
      <c r="N2" s="57"/>
    </row>
    <row r="3" spans="1:17" s="12" customFormat="1" ht="38.25" customHeight="1">
      <c r="A3" s="407" t="s">
        <v>97</v>
      </c>
      <c r="B3" s="407" t="s">
        <v>109</v>
      </c>
      <c r="C3" s="418" t="s">
        <v>133</v>
      </c>
      <c r="D3" s="419"/>
      <c r="E3" s="419"/>
      <c r="F3" s="419"/>
      <c r="G3" s="419"/>
      <c r="H3" s="420"/>
      <c r="I3" s="406" t="s">
        <v>134</v>
      </c>
      <c r="J3" s="406"/>
      <c r="K3" s="406"/>
      <c r="L3" s="421" t="s">
        <v>116</v>
      </c>
      <c r="M3" s="422"/>
      <c r="N3" s="404" t="s">
        <v>118</v>
      </c>
    </row>
    <row r="4" spans="1:17" s="31" customFormat="1" ht="66.75" customHeight="1">
      <c r="A4" s="407"/>
      <c r="B4" s="407"/>
      <c r="C4" s="26" t="s">
        <v>119</v>
      </c>
      <c r="D4" s="26" t="s">
        <v>127</v>
      </c>
      <c r="E4" s="26" t="s">
        <v>122</v>
      </c>
      <c r="F4" s="26" t="s">
        <v>120</v>
      </c>
      <c r="G4" s="26" t="s">
        <v>123</v>
      </c>
      <c r="H4" s="26" t="s">
        <v>124</v>
      </c>
      <c r="I4" s="26" t="s">
        <v>121</v>
      </c>
      <c r="J4" s="26" t="s">
        <v>126</v>
      </c>
      <c r="K4" s="26" t="s">
        <v>125</v>
      </c>
      <c r="L4" s="26" t="s">
        <v>105</v>
      </c>
      <c r="M4" s="26" t="s">
        <v>106</v>
      </c>
      <c r="N4" s="405"/>
    </row>
    <row r="5" spans="1:17" s="25" customFormat="1" ht="25.5" customHeight="1">
      <c r="A5" s="45"/>
      <c r="B5" s="45"/>
      <c r="C5" s="45"/>
      <c r="D5" s="45"/>
      <c r="E5" s="45"/>
      <c r="F5" s="45"/>
      <c r="G5" s="45"/>
      <c r="H5" s="45"/>
      <c r="I5" s="45" t="s">
        <v>14</v>
      </c>
      <c r="J5" s="45" t="s">
        <v>15</v>
      </c>
      <c r="K5" s="45" t="s">
        <v>135</v>
      </c>
      <c r="L5" s="45"/>
      <c r="M5" s="45"/>
      <c r="N5" s="45"/>
    </row>
    <row r="6" spans="1:17">
      <c r="A6" s="413" t="s">
        <v>99</v>
      </c>
      <c r="B6" s="413"/>
      <c r="C6" s="413"/>
      <c r="D6" s="413"/>
      <c r="E6" s="413"/>
      <c r="F6" s="413"/>
      <c r="G6" s="413"/>
      <c r="H6" s="413"/>
      <c r="I6" s="413"/>
      <c r="J6" s="413"/>
      <c r="K6" s="413"/>
      <c r="L6" s="54"/>
      <c r="M6" s="56"/>
      <c r="N6" s="54"/>
    </row>
    <row r="7" spans="1:17">
      <c r="A7" s="188">
        <v>1</v>
      </c>
      <c r="B7" s="27" t="s">
        <v>389</v>
      </c>
      <c r="C7" s="190">
        <v>1</v>
      </c>
      <c r="D7" s="275">
        <v>68303</v>
      </c>
      <c r="E7" s="276">
        <f>D7*12/100000</f>
        <v>8.1963600000000003</v>
      </c>
      <c r="F7" s="355">
        <v>1</v>
      </c>
      <c r="G7" s="276">
        <f t="shared" ref="G7:G12" si="0">D7*6*F7/100000</f>
        <v>4.0981800000000002</v>
      </c>
      <c r="H7" s="276">
        <f>E7-G7</f>
        <v>4.0981800000000002</v>
      </c>
      <c r="I7" s="190">
        <v>1</v>
      </c>
      <c r="J7" s="277">
        <v>75133</v>
      </c>
      <c r="K7" s="356">
        <f t="shared" ref="K7:K12" si="1">J7*I7*12/100000</f>
        <v>9.0159599999999998</v>
      </c>
      <c r="L7" s="27" t="s">
        <v>414</v>
      </c>
      <c r="M7" s="27">
        <v>10</v>
      </c>
      <c r="N7" s="415"/>
      <c r="O7" s="212"/>
      <c r="P7" s="212">
        <f>J7*M7/100</f>
        <v>7513.3</v>
      </c>
      <c r="Q7" s="212">
        <f>J7+P7</f>
        <v>82646.3</v>
      </c>
    </row>
    <row r="8" spans="1:17">
      <c r="A8" s="188">
        <v>2</v>
      </c>
      <c r="B8" s="27" t="s">
        <v>388</v>
      </c>
      <c r="C8" s="190">
        <v>1</v>
      </c>
      <c r="D8" s="30">
        <v>62341</v>
      </c>
      <c r="E8" s="276">
        <f>D8*12/100000</f>
        <v>7.4809200000000002</v>
      </c>
      <c r="F8" s="355">
        <v>1</v>
      </c>
      <c r="G8" s="276">
        <f t="shared" si="0"/>
        <v>3.7404600000000001</v>
      </c>
      <c r="H8" s="276">
        <f>E8-G8</f>
        <v>3.7404600000000001</v>
      </c>
      <c r="I8" s="190">
        <v>1</v>
      </c>
      <c r="J8" s="277">
        <v>68575</v>
      </c>
      <c r="K8" s="356">
        <f t="shared" si="1"/>
        <v>8.2289999999999992</v>
      </c>
      <c r="L8" s="27" t="s">
        <v>414</v>
      </c>
      <c r="M8" s="27">
        <v>10</v>
      </c>
      <c r="N8" s="416"/>
      <c r="O8" s="212"/>
      <c r="P8" s="212">
        <f t="shared" ref="P8:P23" si="2">J8*M8/100</f>
        <v>6857.5</v>
      </c>
      <c r="Q8" s="212">
        <f t="shared" ref="Q8:Q23" si="3">J8+P8</f>
        <v>75432.5</v>
      </c>
    </row>
    <row r="9" spans="1:17">
      <c r="A9" s="188">
        <v>3</v>
      </c>
      <c r="B9" s="27" t="s">
        <v>372</v>
      </c>
      <c r="C9" s="190">
        <v>1</v>
      </c>
      <c r="D9" s="275">
        <v>40083</v>
      </c>
      <c r="E9" s="276">
        <f>D9*12/100000</f>
        <v>4.8099600000000002</v>
      </c>
      <c r="F9" s="355">
        <v>1</v>
      </c>
      <c r="G9" s="276">
        <f t="shared" si="0"/>
        <v>2.4049800000000001</v>
      </c>
      <c r="H9" s="276">
        <f>E9-G9</f>
        <v>2.4049800000000001</v>
      </c>
      <c r="I9" s="190">
        <v>1</v>
      </c>
      <c r="J9" s="277">
        <v>44091</v>
      </c>
      <c r="K9" s="356">
        <f t="shared" si="1"/>
        <v>5.2909199999999998</v>
      </c>
      <c r="L9" s="27" t="s">
        <v>414</v>
      </c>
      <c r="M9" s="27">
        <v>10</v>
      </c>
      <c r="N9" s="416"/>
      <c r="O9" s="212"/>
      <c r="P9" s="212">
        <f t="shared" si="2"/>
        <v>4409.1000000000004</v>
      </c>
      <c r="Q9" s="212">
        <f t="shared" si="3"/>
        <v>48500.1</v>
      </c>
    </row>
    <row r="10" spans="1:17">
      <c r="A10" s="188">
        <v>4</v>
      </c>
      <c r="B10" s="27" t="s">
        <v>373</v>
      </c>
      <c r="C10" s="190">
        <v>1</v>
      </c>
      <c r="D10" s="275">
        <v>32802</v>
      </c>
      <c r="E10" s="276">
        <f>D10*12/100000</f>
        <v>3.9362400000000002</v>
      </c>
      <c r="F10" s="355">
        <v>1</v>
      </c>
      <c r="G10" s="276">
        <f t="shared" si="0"/>
        <v>1.9681200000000001</v>
      </c>
      <c r="H10" s="276">
        <f>E10-G10</f>
        <v>1.9681200000000001</v>
      </c>
      <c r="I10" s="190">
        <v>1</v>
      </c>
      <c r="J10" s="277">
        <v>36082</v>
      </c>
      <c r="K10" s="356">
        <f t="shared" si="1"/>
        <v>4.3298399999999999</v>
      </c>
      <c r="L10" s="27" t="s">
        <v>414</v>
      </c>
      <c r="M10" s="27">
        <v>10</v>
      </c>
      <c r="N10" s="416"/>
      <c r="O10" s="212"/>
      <c r="P10" s="212">
        <f t="shared" si="2"/>
        <v>3608.2</v>
      </c>
      <c r="Q10" s="212">
        <f t="shared" si="3"/>
        <v>39690.199999999997</v>
      </c>
    </row>
    <row r="11" spans="1:17">
      <c r="A11" s="188">
        <v>5</v>
      </c>
      <c r="B11" s="27" t="s">
        <v>374</v>
      </c>
      <c r="C11" s="190">
        <v>1</v>
      </c>
      <c r="D11" s="275">
        <v>18404</v>
      </c>
      <c r="E11" s="276">
        <f>D11*12/100000</f>
        <v>2.2084800000000002</v>
      </c>
      <c r="F11" s="355">
        <v>1</v>
      </c>
      <c r="G11" s="276">
        <f t="shared" si="0"/>
        <v>1.1042400000000001</v>
      </c>
      <c r="H11" s="276">
        <f>E11-G11</f>
        <v>1.1042400000000001</v>
      </c>
      <c r="I11" s="190">
        <v>1</v>
      </c>
      <c r="J11" s="277">
        <v>20244</v>
      </c>
      <c r="K11" s="356">
        <f t="shared" si="1"/>
        <v>2.4292799999999999</v>
      </c>
      <c r="L11" s="27" t="s">
        <v>414</v>
      </c>
      <c r="M11" s="27">
        <v>10</v>
      </c>
      <c r="N11" s="416"/>
      <c r="O11" s="212"/>
      <c r="P11" s="212">
        <f t="shared" si="2"/>
        <v>2024.4</v>
      </c>
      <c r="Q11" s="212">
        <f t="shared" si="3"/>
        <v>22268.400000000001</v>
      </c>
    </row>
    <row r="12" spans="1:17">
      <c r="A12" s="188">
        <v>6</v>
      </c>
      <c r="B12" s="27" t="s">
        <v>375</v>
      </c>
      <c r="C12" s="190">
        <v>2</v>
      </c>
      <c r="D12" s="275">
        <v>21731</v>
      </c>
      <c r="E12" s="276">
        <f>D12*12*C12/100000</f>
        <v>5.2154400000000001</v>
      </c>
      <c r="F12" s="355">
        <v>2</v>
      </c>
      <c r="G12" s="276">
        <f t="shared" si="0"/>
        <v>2.60772</v>
      </c>
      <c r="H12" s="276">
        <v>0.87</v>
      </c>
      <c r="I12" s="190">
        <v>2</v>
      </c>
      <c r="J12" s="277">
        <v>23904</v>
      </c>
      <c r="K12" s="356">
        <f t="shared" si="1"/>
        <v>5.7369599999999998</v>
      </c>
      <c r="L12" s="27" t="s">
        <v>414</v>
      </c>
      <c r="M12" s="27">
        <v>10</v>
      </c>
      <c r="N12" s="417"/>
      <c r="O12" s="212"/>
      <c r="P12" s="212">
        <f t="shared" si="2"/>
        <v>2390.4</v>
      </c>
      <c r="Q12" s="212">
        <f t="shared" si="3"/>
        <v>26294.400000000001</v>
      </c>
    </row>
    <row r="13" spans="1:17" s="29" customFormat="1">
      <c r="A13" s="412" t="s">
        <v>100</v>
      </c>
      <c r="B13" s="412"/>
      <c r="C13" s="189"/>
      <c r="E13" s="279"/>
      <c r="F13" s="279"/>
      <c r="G13" s="279"/>
      <c r="H13" s="279"/>
      <c r="I13" s="189"/>
      <c r="J13" s="278"/>
      <c r="K13" s="279"/>
      <c r="L13" s="46"/>
      <c r="M13" s="46"/>
      <c r="N13" s="46"/>
      <c r="O13" s="212"/>
      <c r="P13" s="212">
        <f t="shared" si="2"/>
        <v>0</v>
      </c>
      <c r="Q13" s="212">
        <f t="shared" si="3"/>
        <v>0</v>
      </c>
    </row>
    <row r="14" spans="1:17">
      <c r="A14" s="413" t="s">
        <v>101</v>
      </c>
      <c r="B14" s="413"/>
      <c r="C14" s="413"/>
      <c r="D14" s="413"/>
      <c r="E14" s="413"/>
      <c r="F14" s="413"/>
      <c r="G14" s="413"/>
      <c r="H14" s="413"/>
      <c r="I14" s="413"/>
      <c r="J14" s="413"/>
      <c r="K14" s="413"/>
      <c r="L14" s="205"/>
      <c r="M14" s="205"/>
      <c r="N14" s="205"/>
      <c r="O14" s="212"/>
      <c r="P14" s="212">
        <f t="shared" si="2"/>
        <v>0</v>
      </c>
      <c r="Q14" s="212">
        <f t="shared" si="3"/>
        <v>0</v>
      </c>
    </row>
    <row r="15" spans="1:17" s="12" customFormat="1" ht="21" customHeight="1">
      <c r="A15" s="213">
        <v>1</v>
      </c>
      <c r="B15" s="64" t="s">
        <v>361</v>
      </c>
      <c r="C15" s="40">
        <v>1</v>
      </c>
      <c r="D15" s="278">
        <v>22111</v>
      </c>
      <c r="E15" s="276">
        <f>D15*12/100000</f>
        <v>2.6533199999999999</v>
      </c>
      <c r="F15" s="355">
        <v>1</v>
      </c>
      <c r="G15" s="276">
        <f>D15*6*F15/100000</f>
        <v>1.32666</v>
      </c>
      <c r="H15" s="276">
        <f>E15-G15</f>
        <v>1.32666</v>
      </c>
      <c r="I15" s="40">
        <v>1</v>
      </c>
      <c r="J15" s="36">
        <v>24322</v>
      </c>
      <c r="K15" s="356">
        <f>J15*I15*12/100000</f>
        <v>2.9186399999999999</v>
      </c>
      <c r="L15" s="27" t="s">
        <v>414</v>
      </c>
      <c r="M15" s="39">
        <v>10</v>
      </c>
      <c r="N15" s="409"/>
      <c r="O15" s="212"/>
      <c r="P15" s="212">
        <f t="shared" si="2"/>
        <v>2432.1999999999998</v>
      </c>
      <c r="Q15" s="212">
        <f t="shared" si="3"/>
        <v>26754.2</v>
      </c>
    </row>
    <row r="16" spans="1:17" s="12" customFormat="1" ht="21" customHeight="1">
      <c r="A16" s="213">
        <v>2</v>
      </c>
      <c r="B16" s="63" t="s">
        <v>362</v>
      </c>
      <c r="C16" s="40">
        <v>1</v>
      </c>
      <c r="D16" s="278">
        <v>23164</v>
      </c>
      <c r="E16" s="276">
        <f t="shared" ref="E16:E23" si="4">D16*12/100000</f>
        <v>2.7796799999999999</v>
      </c>
      <c r="F16" s="355">
        <v>1</v>
      </c>
      <c r="G16" s="276">
        <f t="shared" ref="G16:G23" si="5">D16*6*F16/100000</f>
        <v>1.38984</v>
      </c>
      <c r="H16" s="276">
        <f t="shared" ref="H16:H23" si="6">E16-G16</f>
        <v>1.38984</v>
      </c>
      <c r="I16" s="40">
        <v>1</v>
      </c>
      <c r="J16" s="36">
        <v>25480</v>
      </c>
      <c r="K16" s="356">
        <f t="shared" ref="K16:K23" si="7">J16*I16*12/100000</f>
        <v>3.0575999999999999</v>
      </c>
      <c r="L16" s="27" t="s">
        <v>414</v>
      </c>
      <c r="M16" s="39">
        <v>10</v>
      </c>
      <c r="N16" s="410"/>
      <c r="O16" s="212"/>
      <c r="P16" s="212">
        <f t="shared" si="2"/>
        <v>2548</v>
      </c>
      <c r="Q16" s="212">
        <f t="shared" si="3"/>
        <v>28028</v>
      </c>
    </row>
    <row r="17" spans="1:17" s="12" customFormat="1" ht="21" customHeight="1">
      <c r="A17" s="213">
        <v>3</v>
      </c>
      <c r="B17" s="63" t="s">
        <v>363</v>
      </c>
      <c r="C17" s="40">
        <v>1</v>
      </c>
      <c r="D17" s="278">
        <v>23114</v>
      </c>
      <c r="E17" s="276">
        <f t="shared" si="4"/>
        <v>2.7736800000000001</v>
      </c>
      <c r="F17" s="355">
        <v>1</v>
      </c>
      <c r="G17" s="276">
        <f t="shared" si="5"/>
        <v>1.3868400000000001</v>
      </c>
      <c r="H17" s="276">
        <f t="shared" si="6"/>
        <v>1.3868400000000001</v>
      </c>
      <c r="I17" s="40">
        <v>1</v>
      </c>
      <c r="J17" s="36">
        <v>25425</v>
      </c>
      <c r="K17" s="356">
        <f t="shared" si="7"/>
        <v>3.0510000000000002</v>
      </c>
      <c r="L17" s="27" t="s">
        <v>414</v>
      </c>
      <c r="M17" s="39">
        <v>10</v>
      </c>
      <c r="N17" s="410"/>
      <c r="O17" s="212"/>
      <c r="P17" s="212">
        <f t="shared" si="2"/>
        <v>2542.5</v>
      </c>
      <c r="Q17" s="212">
        <f t="shared" si="3"/>
        <v>27967.5</v>
      </c>
    </row>
    <row r="18" spans="1:17" s="12" customFormat="1" ht="21" customHeight="1">
      <c r="A18" s="213">
        <v>4</v>
      </c>
      <c r="B18" s="64" t="s">
        <v>364</v>
      </c>
      <c r="C18" s="40">
        <v>1</v>
      </c>
      <c r="D18" s="41">
        <v>22111</v>
      </c>
      <c r="E18" s="276">
        <f t="shared" si="4"/>
        <v>2.6533199999999999</v>
      </c>
      <c r="F18" s="355">
        <v>1</v>
      </c>
      <c r="G18" s="276">
        <f t="shared" si="5"/>
        <v>1.32666</v>
      </c>
      <c r="H18" s="276">
        <f t="shared" si="6"/>
        <v>1.32666</v>
      </c>
      <c r="I18" s="40">
        <v>1</v>
      </c>
      <c r="J18" s="36">
        <v>24322</v>
      </c>
      <c r="K18" s="356">
        <f t="shared" si="7"/>
        <v>2.9186399999999999</v>
      </c>
      <c r="L18" s="27" t="s">
        <v>414</v>
      </c>
      <c r="M18" s="39">
        <v>10</v>
      </c>
      <c r="N18" s="410"/>
      <c r="O18" s="212"/>
      <c r="P18" s="212">
        <f t="shared" si="2"/>
        <v>2432.1999999999998</v>
      </c>
      <c r="Q18" s="212">
        <f t="shared" si="3"/>
        <v>26754.2</v>
      </c>
    </row>
    <row r="19" spans="1:17" s="12" customFormat="1" ht="21" customHeight="1">
      <c r="A19" s="213">
        <v>5</v>
      </c>
      <c r="B19" s="65" t="s">
        <v>365</v>
      </c>
      <c r="C19" s="40">
        <v>1</v>
      </c>
      <c r="D19" s="278">
        <v>23164</v>
      </c>
      <c r="E19" s="276">
        <f t="shared" si="4"/>
        <v>2.7796799999999999</v>
      </c>
      <c r="F19" s="355">
        <v>1</v>
      </c>
      <c r="G19" s="276">
        <f t="shared" si="5"/>
        <v>1.38984</v>
      </c>
      <c r="H19" s="276">
        <f t="shared" si="6"/>
        <v>1.38984</v>
      </c>
      <c r="I19" s="40">
        <v>1</v>
      </c>
      <c r="J19" s="36">
        <v>25480</v>
      </c>
      <c r="K19" s="356">
        <f t="shared" si="7"/>
        <v>3.0575999999999999</v>
      </c>
      <c r="L19" s="27" t="s">
        <v>414</v>
      </c>
      <c r="M19" s="39">
        <v>10</v>
      </c>
      <c r="N19" s="410"/>
      <c r="O19" s="212"/>
      <c r="P19" s="212">
        <f t="shared" si="2"/>
        <v>2548</v>
      </c>
      <c r="Q19" s="212">
        <f t="shared" si="3"/>
        <v>28028</v>
      </c>
    </row>
    <row r="20" spans="1:17" s="12" customFormat="1" ht="21" customHeight="1">
      <c r="A20" s="213">
        <v>6</v>
      </c>
      <c r="B20" s="65" t="s">
        <v>366</v>
      </c>
      <c r="C20" s="40">
        <v>1</v>
      </c>
      <c r="D20" s="278">
        <v>23164</v>
      </c>
      <c r="E20" s="276">
        <f t="shared" si="4"/>
        <v>2.7796799999999999</v>
      </c>
      <c r="F20" s="355">
        <v>1</v>
      </c>
      <c r="G20" s="276">
        <f t="shared" si="5"/>
        <v>1.38984</v>
      </c>
      <c r="H20" s="276">
        <f t="shared" si="6"/>
        <v>1.38984</v>
      </c>
      <c r="I20" s="40">
        <v>1</v>
      </c>
      <c r="J20" s="36">
        <v>25480</v>
      </c>
      <c r="K20" s="356">
        <f t="shared" si="7"/>
        <v>3.0575999999999999</v>
      </c>
      <c r="L20" s="27" t="s">
        <v>414</v>
      </c>
      <c r="M20" s="39">
        <v>10</v>
      </c>
      <c r="N20" s="410"/>
      <c r="O20" s="212"/>
      <c r="P20" s="212">
        <f t="shared" si="2"/>
        <v>2548</v>
      </c>
      <c r="Q20" s="212">
        <f t="shared" si="3"/>
        <v>28028</v>
      </c>
    </row>
    <row r="21" spans="1:17" s="12" customFormat="1" ht="21" customHeight="1">
      <c r="A21" s="213">
        <v>7</v>
      </c>
      <c r="B21" s="65" t="s">
        <v>367</v>
      </c>
      <c r="C21" s="40">
        <v>1</v>
      </c>
      <c r="D21" s="278">
        <v>23164</v>
      </c>
      <c r="E21" s="276">
        <f t="shared" si="4"/>
        <v>2.7796799999999999</v>
      </c>
      <c r="F21" s="355">
        <v>1</v>
      </c>
      <c r="G21" s="276">
        <f t="shared" si="5"/>
        <v>1.38984</v>
      </c>
      <c r="H21" s="276">
        <f t="shared" si="6"/>
        <v>1.38984</v>
      </c>
      <c r="I21" s="40">
        <v>1</v>
      </c>
      <c r="J21" s="36">
        <v>25480</v>
      </c>
      <c r="K21" s="356">
        <f t="shared" si="7"/>
        <v>3.0575999999999999</v>
      </c>
      <c r="L21" s="27" t="s">
        <v>414</v>
      </c>
      <c r="M21" s="39">
        <v>10</v>
      </c>
      <c r="N21" s="410"/>
      <c r="O21" s="212"/>
      <c r="P21" s="212">
        <f t="shared" si="2"/>
        <v>2548</v>
      </c>
      <c r="Q21" s="212">
        <f t="shared" si="3"/>
        <v>28028</v>
      </c>
    </row>
    <row r="22" spans="1:17" ht="15.75" customHeight="1">
      <c r="A22" s="213">
        <v>8</v>
      </c>
      <c r="B22" s="64" t="s">
        <v>368</v>
      </c>
      <c r="C22" s="40">
        <v>1</v>
      </c>
      <c r="D22" s="278">
        <v>23164</v>
      </c>
      <c r="E22" s="276">
        <f t="shared" si="4"/>
        <v>2.7796799999999999</v>
      </c>
      <c r="F22" s="355">
        <v>1</v>
      </c>
      <c r="G22" s="276">
        <f t="shared" si="5"/>
        <v>1.38984</v>
      </c>
      <c r="H22" s="276">
        <f t="shared" si="6"/>
        <v>1.38984</v>
      </c>
      <c r="I22" s="40">
        <v>1</v>
      </c>
      <c r="J22" s="36">
        <v>25480</v>
      </c>
      <c r="K22" s="356">
        <f t="shared" si="7"/>
        <v>3.0575999999999999</v>
      </c>
      <c r="L22" s="27" t="s">
        <v>414</v>
      </c>
      <c r="M22" s="39">
        <v>10</v>
      </c>
      <c r="N22" s="410"/>
      <c r="O22" s="212"/>
      <c r="P22" s="212">
        <f t="shared" si="2"/>
        <v>2548</v>
      </c>
      <c r="Q22" s="212">
        <f t="shared" si="3"/>
        <v>28028</v>
      </c>
    </row>
    <row r="23" spans="1:17" s="12" customFormat="1" ht="15">
      <c r="A23" s="213">
        <v>9</v>
      </c>
      <c r="B23" s="122" t="s">
        <v>369</v>
      </c>
      <c r="C23" s="40">
        <v>1</v>
      </c>
      <c r="D23" s="278">
        <v>22110</v>
      </c>
      <c r="E23" s="276">
        <f t="shared" si="4"/>
        <v>2.6532</v>
      </c>
      <c r="F23" s="355">
        <v>1</v>
      </c>
      <c r="G23" s="276">
        <f t="shared" si="5"/>
        <v>1.3266</v>
      </c>
      <c r="H23" s="276">
        <f t="shared" si="6"/>
        <v>1.3266</v>
      </c>
      <c r="I23" s="40">
        <v>1</v>
      </c>
      <c r="J23" s="36">
        <v>24321</v>
      </c>
      <c r="K23" s="356">
        <f t="shared" si="7"/>
        <v>2.91852</v>
      </c>
      <c r="L23" s="27" t="s">
        <v>414</v>
      </c>
      <c r="M23" s="39">
        <v>10</v>
      </c>
      <c r="N23" s="411"/>
      <c r="O23" s="212"/>
      <c r="P23" s="212">
        <f t="shared" si="2"/>
        <v>2432.1</v>
      </c>
      <c r="Q23" s="212">
        <f t="shared" si="3"/>
        <v>26753.1</v>
      </c>
    </row>
    <row r="24" spans="1:17" s="12" customFormat="1" ht="15" customHeight="1">
      <c r="A24" s="423" t="s">
        <v>394</v>
      </c>
      <c r="B24" s="424"/>
      <c r="C24" s="284">
        <f>C23+C22+C21+C20+C19+C18+C17+C16+C15</f>
        <v>9</v>
      </c>
      <c r="D24" s="285"/>
      <c r="E24" s="284">
        <f>E23+E22+E21+E20+E19+E18+E17+E16+E15</f>
        <v>24.631919999999997</v>
      </c>
      <c r="F24" s="284">
        <f>F23+F22+F21+F20+F19+F18+F17+F16+F15</f>
        <v>9</v>
      </c>
      <c r="G24" s="284">
        <f>G23+G22+G21+G20+G19+G18+G17+G16+G15</f>
        <v>12.315959999999999</v>
      </c>
      <c r="H24" s="284">
        <f>H23+H22+H21+H20+H19+H18+H17+H16+H15</f>
        <v>12.315959999999999</v>
      </c>
      <c r="I24" s="284">
        <f>I23+I22+I21+I20+I19+I18+I17+I16+I15</f>
        <v>9</v>
      </c>
      <c r="J24" s="286"/>
      <c r="K24" s="363">
        <f>K23+K22+K21+K20+K19+K18+K17+K16+K15</f>
        <v>27.094800000000003</v>
      </c>
      <c r="L24" s="39"/>
      <c r="M24" s="39"/>
      <c r="N24" s="271"/>
      <c r="O24" s="212"/>
      <c r="P24" s="212"/>
    </row>
    <row r="25" spans="1:17" s="12" customFormat="1" ht="15">
      <c r="A25" s="213">
        <v>10</v>
      </c>
      <c r="B25" s="122" t="s">
        <v>387</v>
      </c>
      <c r="C25" s="281"/>
      <c r="D25" s="282"/>
      <c r="E25" s="280"/>
      <c r="F25" s="283"/>
      <c r="G25" s="280"/>
      <c r="H25" s="280"/>
      <c r="I25" s="281"/>
      <c r="J25" s="275"/>
      <c r="K25" s="280"/>
      <c r="L25" s="39"/>
      <c r="M25" s="39"/>
      <c r="N25" s="253"/>
      <c r="O25" s="212"/>
    </row>
    <row r="26" spans="1:17" s="29" customFormat="1">
      <c r="A26" s="412" t="s">
        <v>102</v>
      </c>
      <c r="B26" s="412"/>
      <c r="C26" s="189">
        <f>C25+C24</f>
        <v>9</v>
      </c>
      <c r="D26" s="41">
        <v>16900</v>
      </c>
      <c r="E26" s="189">
        <f>E25+E24</f>
        <v>24.631919999999997</v>
      </c>
      <c r="F26" s="189">
        <f>F25+F24</f>
        <v>9</v>
      </c>
      <c r="G26" s="189">
        <f>G25+G24</f>
        <v>12.315959999999999</v>
      </c>
      <c r="H26" s="189">
        <f>H25+H24</f>
        <v>12.315959999999999</v>
      </c>
      <c r="I26" s="189">
        <f>I25+I24</f>
        <v>9</v>
      </c>
      <c r="J26" s="278">
        <v>17000</v>
      </c>
      <c r="K26" s="356">
        <f>J26*I26*12/100000</f>
        <v>18.36</v>
      </c>
      <c r="L26" s="46"/>
      <c r="M26" s="46">
        <v>0.59</v>
      </c>
      <c r="N26" s="46"/>
    </row>
    <row r="27" spans="1:17" ht="12.75" customHeight="1">
      <c r="A27" s="413" t="s">
        <v>112</v>
      </c>
      <c r="B27" s="413"/>
      <c r="C27" s="413"/>
      <c r="D27" s="413"/>
      <c r="E27" s="413"/>
      <c r="F27" s="413"/>
      <c r="G27" s="413"/>
      <c r="H27" s="413"/>
      <c r="I27" s="413"/>
      <c r="J27" s="413"/>
      <c r="K27" s="413"/>
      <c r="L27" s="205"/>
      <c r="M27" s="205"/>
      <c r="N27" s="205"/>
    </row>
    <row r="28" spans="1:17" ht="18.75" customHeight="1">
      <c r="A28" s="42"/>
      <c r="B28" s="28" t="s">
        <v>415</v>
      </c>
      <c r="C28" s="281">
        <v>9</v>
      </c>
      <c r="D28" s="275">
        <v>12000</v>
      </c>
      <c r="E28" s="276">
        <v>3.24</v>
      </c>
      <c r="F28" s="276">
        <v>0</v>
      </c>
      <c r="G28" s="276">
        <v>0</v>
      </c>
      <c r="H28" s="276">
        <v>3.24</v>
      </c>
      <c r="I28" s="281">
        <v>9</v>
      </c>
      <c r="J28" s="282">
        <f>I28*D28*12</f>
        <v>1296000</v>
      </c>
      <c r="K28" s="280">
        <v>12.96</v>
      </c>
      <c r="L28" s="28"/>
      <c r="M28" s="28" t="s">
        <v>416</v>
      </c>
      <c r="N28" s="43"/>
    </row>
    <row r="29" spans="1:17" s="44" customFormat="1" ht="18.75" customHeight="1">
      <c r="A29" s="42"/>
      <c r="B29" s="43"/>
      <c r="C29" s="281"/>
      <c r="D29" s="282"/>
      <c r="E29" s="280"/>
      <c r="F29" s="280"/>
      <c r="G29" s="280"/>
      <c r="H29" s="280"/>
      <c r="I29" s="281"/>
      <c r="J29" s="282"/>
      <c r="K29" s="280"/>
      <c r="L29" s="43"/>
      <c r="M29" s="43"/>
      <c r="N29" s="43"/>
    </row>
    <row r="30" spans="1:17" s="12" customFormat="1" ht="26.25" customHeight="1">
      <c r="A30" s="414" t="s">
        <v>103</v>
      </c>
      <c r="B30" s="414"/>
      <c r="C30" s="189"/>
      <c r="D30" s="278"/>
      <c r="E30" s="279">
        <f>SUM(E28:E29)</f>
        <v>3.24</v>
      </c>
      <c r="F30" s="279">
        <f>SUM(F28:F29)</f>
        <v>0</v>
      </c>
      <c r="G30" s="279">
        <f>SUM(G28:G29)</f>
        <v>0</v>
      </c>
      <c r="H30" s="279">
        <f>SUM(H28:H29)</f>
        <v>3.24</v>
      </c>
      <c r="I30" s="189">
        <f>SUM(I28:I29)</f>
        <v>9</v>
      </c>
      <c r="J30" s="278"/>
      <c r="K30" s="279">
        <f>SUM(K28:K29)</f>
        <v>12.96</v>
      </c>
      <c r="L30" s="46"/>
      <c r="M30" s="46"/>
      <c r="N30" s="46"/>
    </row>
    <row r="31" spans="1:17">
      <c r="A31" s="48"/>
      <c r="B31" s="48"/>
      <c r="C31" s="35"/>
      <c r="D31" s="48"/>
      <c r="E31" s="55"/>
      <c r="F31" s="55"/>
      <c r="G31" s="55"/>
      <c r="H31" s="55"/>
      <c r="I31" s="35"/>
      <c r="J31" s="48"/>
      <c r="K31" s="37"/>
      <c r="L31" s="48"/>
      <c r="M31" s="48"/>
      <c r="N31" s="48"/>
    </row>
    <row r="32" spans="1:17" s="12" customFormat="1">
      <c r="A32" s="408" t="s">
        <v>98</v>
      </c>
      <c r="B32" s="408"/>
      <c r="C32" s="59">
        <f>SUM(C13,C26,C30)</f>
        <v>9</v>
      </c>
      <c r="D32" s="53"/>
      <c r="E32" s="279">
        <f>SUM(E13,E26,E30)</f>
        <v>27.871919999999996</v>
      </c>
      <c r="F32" s="279">
        <f>SUM(F13,F26,F30)</f>
        <v>9</v>
      </c>
      <c r="G32" s="279">
        <f>SUM(G13,G26,G30)</f>
        <v>12.315959999999999</v>
      </c>
      <c r="H32" s="279">
        <f>SUM(H13,H26,H30)</f>
        <v>15.555959999999999</v>
      </c>
      <c r="I32" s="189">
        <f>SUM(I13,I26,I30)</f>
        <v>18</v>
      </c>
      <c r="J32" s="53">
        <v>17000</v>
      </c>
      <c r="K32" s="279">
        <f>I32*17000*12/100000</f>
        <v>36.72</v>
      </c>
      <c r="L32" s="52"/>
      <c r="M32" s="52"/>
      <c r="N32" s="52"/>
    </row>
    <row r="33" spans="1:1">
      <c r="A33" s="49" t="s">
        <v>111</v>
      </c>
    </row>
  </sheetData>
  <mergeCells count="16">
    <mergeCell ref="N3:N4"/>
    <mergeCell ref="I3:K3"/>
    <mergeCell ref="B3:B4"/>
    <mergeCell ref="A3:A4"/>
    <mergeCell ref="A32:B32"/>
    <mergeCell ref="N15:N23"/>
    <mergeCell ref="A26:B26"/>
    <mergeCell ref="A27:K27"/>
    <mergeCell ref="A30:B30"/>
    <mergeCell ref="N7:N12"/>
    <mergeCell ref="A6:K6"/>
    <mergeCell ref="C3:H3"/>
    <mergeCell ref="A13:B13"/>
    <mergeCell ref="A14:K14"/>
    <mergeCell ref="L3:M3"/>
    <mergeCell ref="A24:B2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2"/>
  <sheetViews>
    <sheetView showGridLines="0" zoomScale="90" zoomScaleNormal="90" workbookViewId="0">
      <selection activeCell="D11" sqref="D11"/>
    </sheetView>
  </sheetViews>
  <sheetFormatPr defaultColWidth="9.140625" defaultRowHeight="15"/>
  <cols>
    <col min="1" max="1" width="13.5703125" style="178" customWidth="1"/>
    <col min="2" max="2" width="12" style="133" customWidth="1"/>
    <col min="3" max="3" width="11" style="133" customWidth="1"/>
    <col min="4" max="4" width="13.140625" style="133" customWidth="1"/>
    <col min="5" max="5" width="15.42578125" style="133" customWidth="1"/>
    <col min="6" max="10" width="12" style="133" customWidth="1"/>
    <col min="11" max="11" width="12.85546875" style="133" customWidth="1"/>
    <col min="12" max="12" width="13.42578125" style="133" customWidth="1"/>
    <col min="13" max="13" width="14.42578125" style="133" customWidth="1"/>
    <col min="14" max="14" width="11.5703125" style="133" customWidth="1"/>
    <col min="15" max="15" width="18" style="133" customWidth="1"/>
    <col min="16" max="16" width="14.5703125" style="133" customWidth="1"/>
    <col min="17" max="17" width="16.42578125" style="133" customWidth="1"/>
    <col min="18" max="18" width="11.85546875" style="133" customWidth="1"/>
    <col min="19" max="16384" width="9.140625" style="133"/>
  </cols>
  <sheetData>
    <row r="1" spans="1:23">
      <c r="A1" s="540" t="s">
        <v>353</v>
      </c>
      <c r="B1" s="540"/>
      <c r="C1" s="540"/>
      <c r="D1" s="540"/>
      <c r="E1" s="540"/>
      <c r="F1" s="540"/>
      <c r="G1" s="540"/>
      <c r="H1" s="540"/>
      <c r="I1" s="540"/>
      <c r="J1" s="540"/>
    </row>
    <row r="3" spans="1:23" ht="17.25" customHeight="1">
      <c r="A3" s="546" t="s">
        <v>407</v>
      </c>
      <c r="B3" s="546"/>
      <c r="C3" s="546"/>
      <c r="D3" s="546"/>
      <c r="E3" s="546"/>
      <c r="F3" s="546"/>
      <c r="G3" s="546"/>
      <c r="H3" s="546"/>
      <c r="I3" s="546"/>
      <c r="J3" s="546"/>
      <c r="K3" s="546"/>
      <c r="L3" s="546"/>
      <c r="M3" s="546"/>
      <c r="N3" s="546"/>
      <c r="O3" s="546"/>
      <c r="P3" s="546"/>
    </row>
    <row r="4" spans="1:23" ht="17.25" customHeight="1">
      <c r="A4" s="170" t="s">
        <v>308</v>
      </c>
      <c r="B4" s="171"/>
      <c r="C4" s="171"/>
      <c r="D4" s="171"/>
      <c r="E4" s="171"/>
      <c r="F4" s="171"/>
      <c r="G4" s="171"/>
      <c r="H4" s="171"/>
      <c r="I4" s="171"/>
      <c r="J4" s="171"/>
      <c r="K4" s="171"/>
      <c r="L4" s="171"/>
      <c r="M4" s="171"/>
      <c r="N4" s="171"/>
      <c r="O4" s="171"/>
      <c r="P4" s="172"/>
    </row>
    <row r="5" spans="1:23" s="129" customFormat="1" ht="15" customHeight="1">
      <c r="A5" s="475" t="s">
        <v>0</v>
      </c>
      <c r="B5" s="527" t="s">
        <v>136</v>
      </c>
      <c r="C5" s="527"/>
      <c r="D5" s="527"/>
      <c r="E5" s="527"/>
      <c r="F5" s="527"/>
      <c r="G5" s="527" t="s">
        <v>134</v>
      </c>
      <c r="H5" s="527"/>
      <c r="I5" s="527"/>
      <c r="J5" s="527"/>
      <c r="K5" s="527"/>
      <c r="L5" s="527"/>
      <c r="M5" s="527"/>
      <c r="N5" s="527"/>
      <c r="O5" s="527"/>
      <c r="P5" s="541" t="s">
        <v>118</v>
      </c>
      <c r="Q5" s="173"/>
      <c r="R5" s="173"/>
      <c r="S5" s="173"/>
      <c r="T5" s="173"/>
      <c r="U5" s="173"/>
      <c r="V5" s="173"/>
      <c r="W5" s="173"/>
    </row>
    <row r="6" spans="1:23" s="173" customFormat="1" ht="75">
      <c r="A6" s="487"/>
      <c r="B6" s="128" t="s">
        <v>309</v>
      </c>
      <c r="C6" s="128" t="s">
        <v>310</v>
      </c>
      <c r="D6" s="128" t="s">
        <v>122</v>
      </c>
      <c r="E6" s="174" t="s">
        <v>311</v>
      </c>
      <c r="F6" s="128" t="s">
        <v>124</v>
      </c>
      <c r="G6" s="128" t="s">
        <v>312</v>
      </c>
      <c r="H6" s="128" t="s">
        <v>313</v>
      </c>
      <c r="I6" s="128" t="s">
        <v>314</v>
      </c>
      <c r="J6" s="128" t="s">
        <v>315</v>
      </c>
      <c r="K6" s="128" t="s">
        <v>316</v>
      </c>
      <c r="L6" s="128" t="s">
        <v>317</v>
      </c>
      <c r="M6" s="128" t="s">
        <v>318</v>
      </c>
      <c r="N6" s="128" t="s">
        <v>319</v>
      </c>
      <c r="O6" s="128" t="s">
        <v>320</v>
      </c>
      <c r="P6" s="541"/>
    </row>
    <row r="7" spans="1:23">
      <c r="A7" s="154"/>
      <c r="B7" s="154"/>
      <c r="C7" s="154"/>
      <c r="D7" s="154"/>
      <c r="E7" s="154"/>
      <c r="F7" s="154"/>
      <c r="G7" s="154" t="s">
        <v>14</v>
      </c>
      <c r="H7" s="154" t="s">
        <v>15</v>
      </c>
      <c r="I7" s="154" t="s">
        <v>16</v>
      </c>
      <c r="J7" s="154" t="s">
        <v>147</v>
      </c>
      <c r="K7" s="154" t="s">
        <v>149</v>
      </c>
      <c r="L7" s="154" t="s">
        <v>170</v>
      </c>
      <c r="M7" s="154" t="s">
        <v>321</v>
      </c>
      <c r="N7" s="154" t="s">
        <v>172</v>
      </c>
      <c r="O7" s="154" t="s">
        <v>322</v>
      </c>
      <c r="P7" s="154"/>
    </row>
    <row r="8" spans="1:23" s="125" customFormat="1">
      <c r="A8" s="175"/>
      <c r="B8" s="160"/>
      <c r="C8" s="160"/>
      <c r="D8" s="160"/>
      <c r="E8" s="160"/>
      <c r="F8" s="160"/>
      <c r="G8" s="160"/>
      <c r="H8" s="160"/>
      <c r="I8" s="160"/>
      <c r="J8" s="160"/>
      <c r="K8" s="160"/>
      <c r="L8" s="160"/>
      <c r="M8" s="353"/>
      <c r="N8" s="353"/>
      <c r="O8" s="353"/>
      <c r="P8" s="160"/>
    </row>
    <row r="9" spans="1:23">
      <c r="A9" s="134"/>
      <c r="B9" s="132"/>
      <c r="C9" s="132"/>
      <c r="D9" s="132"/>
      <c r="E9" s="132"/>
      <c r="F9" s="132"/>
      <c r="G9" s="132"/>
      <c r="H9" s="132"/>
      <c r="I9" s="132"/>
      <c r="J9" s="132"/>
      <c r="K9" s="132"/>
      <c r="L9" s="132"/>
      <c r="M9" s="353"/>
      <c r="N9" s="321"/>
      <c r="O9" s="353"/>
      <c r="P9" s="132"/>
    </row>
    <row r="10" spans="1:23">
      <c r="A10" s="134"/>
      <c r="B10" s="132"/>
      <c r="C10" s="132"/>
      <c r="D10" s="132"/>
      <c r="E10" s="132"/>
      <c r="F10" s="132"/>
      <c r="G10" s="132"/>
      <c r="H10" s="132"/>
      <c r="I10" s="132"/>
      <c r="J10" s="132"/>
      <c r="K10" s="132"/>
      <c r="L10" s="132"/>
      <c r="M10" s="353"/>
      <c r="N10" s="321"/>
      <c r="O10" s="353"/>
      <c r="P10" s="132"/>
    </row>
    <row r="11" spans="1:23" s="177" customFormat="1">
      <c r="A11" s="176" t="s">
        <v>86</v>
      </c>
      <c r="B11" s="354"/>
      <c r="C11" s="354"/>
      <c r="D11" s="354"/>
      <c r="E11" s="354"/>
      <c r="F11" s="354"/>
      <c r="G11" s="354"/>
      <c r="H11" s="354"/>
      <c r="I11" s="354"/>
      <c r="J11" s="354"/>
      <c r="K11" s="354"/>
      <c r="L11" s="354"/>
      <c r="M11" s="354"/>
      <c r="N11" s="354"/>
      <c r="O11" s="354"/>
      <c r="P11" s="354"/>
    </row>
    <row r="12" spans="1:23" ht="27.75" customHeight="1"/>
    <row r="13" spans="1:23">
      <c r="A13" s="543" t="s">
        <v>323</v>
      </c>
      <c r="B13" s="544"/>
      <c r="C13" s="544"/>
      <c r="D13" s="544"/>
      <c r="E13" s="544"/>
      <c r="F13" s="544"/>
      <c r="G13" s="544"/>
      <c r="H13" s="544"/>
      <c r="I13" s="544"/>
      <c r="J13" s="544"/>
      <c r="K13" s="544"/>
      <c r="L13" s="544"/>
      <c r="M13" s="172" t="s">
        <v>288</v>
      </c>
    </row>
    <row r="14" spans="1:23">
      <c r="A14" s="475" t="s">
        <v>0</v>
      </c>
      <c r="B14" s="527" t="s">
        <v>136</v>
      </c>
      <c r="C14" s="527"/>
      <c r="D14" s="527"/>
      <c r="E14" s="527"/>
      <c r="F14" s="527"/>
      <c r="G14" s="527"/>
      <c r="H14" s="527"/>
      <c r="I14" s="542" t="s">
        <v>134</v>
      </c>
      <c r="J14" s="545"/>
      <c r="K14" s="545"/>
      <c r="L14" s="545"/>
      <c r="M14" s="541" t="s">
        <v>118</v>
      </c>
    </row>
    <row r="15" spans="1:23" ht="12.75" customHeight="1">
      <c r="A15" s="487"/>
      <c r="B15" s="452" t="s">
        <v>309</v>
      </c>
      <c r="C15" s="452" t="s">
        <v>316</v>
      </c>
      <c r="D15" s="529" t="s">
        <v>324</v>
      </c>
      <c r="E15" s="452" t="s">
        <v>325</v>
      </c>
      <c r="F15" s="452" t="s">
        <v>122</v>
      </c>
      <c r="G15" s="452" t="s">
        <v>311</v>
      </c>
      <c r="H15" s="452" t="s">
        <v>124</v>
      </c>
      <c r="I15" s="452" t="s">
        <v>326</v>
      </c>
      <c r="J15" s="452" t="s">
        <v>325</v>
      </c>
      <c r="K15" s="452" t="s">
        <v>327</v>
      </c>
      <c r="L15" s="452" t="s">
        <v>328</v>
      </c>
      <c r="M15" s="541"/>
    </row>
    <row r="16" spans="1:23" ht="63.75" customHeight="1">
      <c r="A16" s="487"/>
      <c r="B16" s="452"/>
      <c r="C16" s="452"/>
      <c r="D16" s="534"/>
      <c r="E16" s="452"/>
      <c r="F16" s="452"/>
      <c r="G16" s="452"/>
      <c r="H16" s="452"/>
      <c r="I16" s="452"/>
      <c r="J16" s="452"/>
      <c r="K16" s="452"/>
      <c r="L16" s="452"/>
      <c r="M16" s="542"/>
    </row>
    <row r="17" spans="1:13" ht="30">
      <c r="A17" s="154"/>
      <c r="B17" s="154"/>
      <c r="C17" s="154"/>
      <c r="D17" s="154"/>
      <c r="E17" s="154"/>
      <c r="F17" s="154"/>
      <c r="G17" s="154"/>
      <c r="H17" s="154"/>
      <c r="I17" s="154" t="s">
        <v>14</v>
      </c>
      <c r="J17" s="154" t="s">
        <v>15</v>
      </c>
      <c r="K17" s="154" t="s">
        <v>16</v>
      </c>
      <c r="L17" s="154" t="s">
        <v>329</v>
      </c>
      <c r="M17" s="154"/>
    </row>
    <row r="18" spans="1:13">
      <c r="A18" s="179" t="s">
        <v>330</v>
      </c>
      <c r="B18" s="180"/>
      <c r="C18" s="180"/>
      <c r="D18" s="180"/>
      <c r="E18" s="180"/>
      <c r="F18" s="180"/>
      <c r="G18" s="180"/>
      <c r="H18" s="180"/>
      <c r="I18" s="180"/>
      <c r="J18" s="180"/>
      <c r="K18" s="180"/>
      <c r="L18" s="180"/>
      <c r="M18" s="180"/>
    </row>
    <row r="19" spans="1:13">
      <c r="A19" s="175"/>
      <c r="B19" s="160"/>
      <c r="C19" s="160"/>
      <c r="D19" s="160"/>
      <c r="E19" s="160"/>
      <c r="F19" s="160"/>
      <c r="G19" s="160"/>
      <c r="H19" s="160"/>
      <c r="I19" s="160"/>
      <c r="J19" s="160"/>
      <c r="K19" s="160"/>
      <c r="L19" s="353"/>
      <c r="M19" s="160"/>
    </row>
    <row r="20" spans="1:13">
      <c r="A20" s="134"/>
      <c r="B20" s="132"/>
      <c r="C20" s="132"/>
      <c r="D20" s="132"/>
      <c r="E20" s="132"/>
      <c r="F20" s="132"/>
      <c r="G20" s="132"/>
      <c r="H20" s="132"/>
      <c r="I20" s="132"/>
      <c r="J20" s="132"/>
      <c r="K20" s="132"/>
      <c r="L20" s="353"/>
      <c r="M20" s="132"/>
    </row>
    <row r="21" spans="1:13">
      <c r="A21" s="134"/>
      <c r="B21" s="132"/>
      <c r="C21" s="132"/>
      <c r="D21" s="132"/>
      <c r="E21" s="132"/>
      <c r="F21" s="132"/>
      <c r="G21" s="132"/>
      <c r="H21" s="132"/>
      <c r="I21" s="132"/>
      <c r="J21" s="132"/>
      <c r="K21" s="132"/>
      <c r="L21" s="353"/>
      <c r="M21" s="132"/>
    </row>
    <row r="22" spans="1:13">
      <c r="A22" s="176" t="s">
        <v>86</v>
      </c>
      <c r="B22" s="354"/>
      <c r="C22" s="354"/>
      <c r="D22" s="354"/>
      <c r="E22" s="354"/>
      <c r="F22" s="354"/>
      <c r="G22" s="354"/>
      <c r="H22" s="354"/>
      <c r="I22" s="354"/>
      <c r="J22" s="354"/>
      <c r="K22" s="354"/>
      <c r="L22" s="354"/>
      <c r="M22" s="354"/>
    </row>
  </sheetData>
  <mergeCells count="22">
    <mergeCell ref="A1:J1"/>
    <mergeCell ref="A5:A6"/>
    <mergeCell ref="B5:F5"/>
    <mergeCell ref="G5:O5"/>
    <mergeCell ref="P5:P6"/>
    <mergeCell ref="A3:P3"/>
    <mergeCell ref="A13:L13"/>
    <mergeCell ref="A14:A16"/>
    <mergeCell ref="B14:H14"/>
    <mergeCell ref="I14:L14"/>
    <mergeCell ref="M14:M16"/>
    <mergeCell ref="B15:B16"/>
    <mergeCell ref="I15:I16"/>
    <mergeCell ref="J15:J16"/>
    <mergeCell ref="K15:K16"/>
    <mergeCell ref="L15:L16"/>
    <mergeCell ref="C15:C16"/>
    <mergeCell ref="D15:D16"/>
    <mergeCell ref="E15:E16"/>
    <mergeCell ref="F15:F16"/>
    <mergeCell ref="G15:G16"/>
    <mergeCell ref="H15:H16"/>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20"/>
  <sheetViews>
    <sheetView showGridLines="0" workbookViewId="0">
      <selection activeCell="B8" sqref="B8"/>
    </sheetView>
  </sheetViews>
  <sheetFormatPr defaultColWidth="9.140625" defaultRowHeight="12.75"/>
  <cols>
    <col min="1" max="1" width="10.85546875" style="31" customWidth="1"/>
    <col min="2" max="2" width="44.85546875" style="30" customWidth="1"/>
    <col min="3" max="3" width="20.42578125" style="30" customWidth="1"/>
    <col min="4" max="5" width="12" style="30" customWidth="1"/>
    <col min="6" max="6" width="15.42578125" style="30" customWidth="1"/>
    <col min="7" max="7" width="21.28515625" style="30" customWidth="1"/>
    <col min="8" max="16384" width="9.140625" style="30"/>
  </cols>
  <sheetData>
    <row r="1" spans="1:12" ht="14.25" customHeight="1">
      <c r="A1" s="540" t="s">
        <v>353</v>
      </c>
      <c r="B1" s="540"/>
      <c r="C1" s="540"/>
      <c r="D1" s="540"/>
      <c r="E1" s="540"/>
      <c r="F1" s="540"/>
      <c r="G1" s="540"/>
      <c r="H1" s="540"/>
      <c r="I1" s="540"/>
      <c r="J1" s="540"/>
    </row>
    <row r="2" spans="1:12" ht="17.25" customHeight="1">
      <c r="A2" s="547" t="s">
        <v>406</v>
      </c>
      <c r="B2" s="547"/>
      <c r="C2" s="547"/>
      <c r="D2" s="547"/>
      <c r="E2" s="547"/>
      <c r="F2" s="547"/>
      <c r="G2" s="57" t="s">
        <v>288</v>
      </c>
    </row>
    <row r="3" spans="1:12" s="183" customFormat="1" ht="45">
      <c r="A3" s="181" t="s">
        <v>0</v>
      </c>
      <c r="B3" s="181" t="s">
        <v>154</v>
      </c>
      <c r="C3" s="182" t="s">
        <v>331</v>
      </c>
      <c r="D3" s="182" t="s">
        <v>332</v>
      </c>
      <c r="E3" s="182" t="s">
        <v>333</v>
      </c>
      <c r="F3" s="182" t="s">
        <v>334</v>
      </c>
      <c r="G3" s="182" t="s">
        <v>118</v>
      </c>
    </row>
    <row r="4" spans="1:12" s="185" customFormat="1" ht="15">
      <c r="A4" s="179" t="s">
        <v>330</v>
      </c>
      <c r="B4" s="180"/>
      <c r="C4" s="180"/>
      <c r="D4" s="184" t="s">
        <v>14</v>
      </c>
      <c r="E4" s="184" t="s">
        <v>15</v>
      </c>
      <c r="F4" s="184" t="s">
        <v>224</v>
      </c>
      <c r="G4" s="180"/>
      <c r="H4" s="30"/>
      <c r="I4" s="30"/>
      <c r="J4" s="30"/>
      <c r="K4" s="30"/>
      <c r="L4" s="30"/>
    </row>
    <row r="5" spans="1:12" ht="15">
      <c r="A5" s="186" t="s">
        <v>136</v>
      </c>
      <c r="B5" s="186"/>
      <c r="C5" s="187"/>
      <c r="D5" s="187"/>
      <c r="E5" s="187"/>
      <c r="F5" s="187"/>
      <c r="G5" s="187"/>
      <c r="H5" s="185"/>
      <c r="I5" s="185"/>
      <c r="J5" s="185"/>
      <c r="K5" s="185"/>
      <c r="L5" s="185"/>
    </row>
    <row r="6" spans="1:12">
      <c r="A6" s="188">
        <v>1</v>
      </c>
      <c r="B6" s="34" t="s">
        <v>335</v>
      </c>
      <c r="C6" s="189"/>
      <c r="D6" s="189"/>
      <c r="E6" s="189"/>
      <c r="F6" s="252"/>
      <c r="G6" s="34"/>
    </row>
    <row r="7" spans="1:12">
      <c r="A7" s="35" t="s">
        <v>14</v>
      </c>
      <c r="B7" s="48" t="s">
        <v>336</v>
      </c>
      <c r="C7" s="190"/>
      <c r="D7" s="190"/>
      <c r="E7" s="190"/>
      <c r="F7" s="48"/>
      <c r="G7" s="38"/>
    </row>
    <row r="8" spans="1:12" ht="25.5" customHeight="1">
      <c r="A8" s="35" t="s">
        <v>15</v>
      </c>
      <c r="B8" s="30" t="s">
        <v>337</v>
      </c>
      <c r="C8" s="190"/>
      <c r="D8" s="190"/>
      <c r="E8" s="190"/>
      <c r="F8" s="48"/>
      <c r="G8" s="429"/>
    </row>
    <row r="9" spans="1:12">
      <c r="A9" s="35" t="s">
        <v>16</v>
      </c>
      <c r="B9" s="48" t="s">
        <v>338</v>
      </c>
      <c r="C9" s="190"/>
      <c r="D9" s="190"/>
      <c r="E9" s="190"/>
      <c r="F9" s="48"/>
      <c r="G9" s="430"/>
    </row>
    <row r="10" spans="1:12">
      <c r="A10" s="495" t="s">
        <v>147</v>
      </c>
      <c r="B10" s="38" t="s">
        <v>384</v>
      </c>
      <c r="C10" s="190"/>
      <c r="D10" s="190"/>
      <c r="E10" s="190"/>
      <c r="F10" s="48"/>
      <c r="G10" s="430"/>
    </row>
    <row r="11" spans="1:12">
      <c r="A11" s="497"/>
      <c r="B11" s="38" t="s">
        <v>383</v>
      </c>
      <c r="C11" s="190"/>
      <c r="D11" s="190"/>
      <c r="E11" s="190"/>
      <c r="F11" s="48"/>
      <c r="G11" s="430"/>
    </row>
    <row r="12" spans="1:12">
      <c r="A12" s="188">
        <v>2</v>
      </c>
      <c r="B12" s="34" t="s">
        <v>339</v>
      </c>
      <c r="C12" s="190"/>
      <c r="D12" s="190"/>
      <c r="E12" s="190"/>
      <c r="F12" s="110"/>
      <c r="G12" s="430"/>
    </row>
    <row r="13" spans="1:12" s="29" customFormat="1">
      <c r="A13" s="188">
        <v>3</v>
      </c>
      <c r="B13" s="34" t="s">
        <v>340</v>
      </c>
      <c r="C13" s="190"/>
      <c r="D13" s="190"/>
      <c r="E13" s="190"/>
      <c r="F13" s="252"/>
      <c r="G13" s="431"/>
      <c r="H13" s="30"/>
      <c r="I13" s="30"/>
      <c r="J13" s="30"/>
      <c r="K13" s="30"/>
      <c r="L13" s="30"/>
    </row>
    <row r="14" spans="1:12" ht="15">
      <c r="A14" s="186" t="s">
        <v>134</v>
      </c>
      <c r="B14" s="186"/>
      <c r="C14" s="187"/>
      <c r="D14" s="187"/>
      <c r="E14" s="187"/>
      <c r="F14" s="187"/>
      <c r="G14" s="187"/>
      <c r="H14" s="185"/>
      <c r="I14" s="185"/>
      <c r="J14" s="185"/>
      <c r="K14" s="185"/>
      <c r="L14" s="185"/>
    </row>
    <row r="15" spans="1:12">
      <c r="A15" s="188">
        <v>1</v>
      </c>
      <c r="B15" s="34" t="s">
        <v>341</v>
      </c>
      <c r="C15" s="189"/>
      <c r="D15" s="189"/>
      <c r="E15" s="189"/>
      <c r="F15" s="34"/>
      <c r="G15" s="34"/>
    </row>
    <row r="16" spans="1:12">
      <c r="A16" s="35" t="s">
        <v>14</v>
      </c>
      <c r="B16" s="48" t="s">
        <v>336</v>
      </c>
      <c r="C16" s="190"/>
      <c r="D16" s="190"/>
      <c r="E16" s="190"/>
      <c r="F16" s="214"/>
      <c r="G16" s="38"/>
    </row>
    <row r="17" spans="1:12">
      <c r="A17" s="35" t="s">
        <v>15</v>
      </c>
      <c r="B17" s="30" t="s">
        <v>337</v>
      </c>
      <c r="C17" s="190"/>
      <c r="D17" s="190"/>
      <c r="E17" s="190"/>
      <c r="F17" s="48"/>
      <c r="G17" s="48"/>
    </row>
    <row r="18" spans="1:12">
      <c r="A18" s="35" t="s">
        <v>16</v>
      </c>
      <c r="B18" s="48" t="s">
        <v>338</v>
      </c>
      <c r="C18" s="190"/>
      <c r="D18" s="190"/>
      <c r="E18" s="190"/>
      <c r="F18" s="48"/>
      <c r="G18" s="48"/>
    </row>
    <row r="19" spans="1:12">
      <c r="A19" s="35" t="s">
        <v>147</v>
      </c>
      <c r="B19" s="48" t="s">
        <v>385</v>
      </c>
      <c r="C19" s="190"/>
      <c r="D19" s="190"/>
      <c r="E19" s="190"/>
      <c r="F19" s="265"/>
      <c r="G19" s="38"/>
    </row>
    <row r="20" spans="1:12">
      <c r="A20" s="62" t="s">
        <v>342</v>
      </c>
      <c r="B20" s="52"/>
      <c r="C20" s="200"/>
      <c r="D20" s="200"/>
      <c r="E20" s="200"/>
      <c r="F20" s="252">
        <f>SUM(F15:F19)</f>
        <v>0</v>
      </c>
      <c r="G20" s="199"/>
      <c r="H20" s="29"/>
      <c r="I20" s="29"/>
      <c r="J20" s="29"/>
      <c r="K20" s="29"/>
      <c r="L20" s="29"/>
    </row>
  </sheetData>
  <mergeCells count="4">
    <mergeCell ref="A1:J1"/>
    <mergeCell ref="A10:A11"/>
    <mergeCell ref="G8:G13"/>
    <mergeCell ref="A2:F2"/>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zoomScale="90" zoomScaleNormal="90" workbookViewId="0">
      <selection sqref="A1:D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c r="A3" s="401">
        <v>8</v>
      </c>
      <c r="B3" s="401"/>
      <c r="C3" s="16" t="s">
        <v>343</v>
      </c>
      <c r="D3" s="17"/>
      <c r="E3" s="18"/>
    </row>
    <row r="4" spans="1:5" ht="260.25" customHeight="1">
      <c r="A4" s="18"/>
      <c r="B4" s="19" t="s">
        <v>15</v>
      </c>
      <c r="C4" s="23" t="s">
        <v>344</v>
      </c>
      <c r="D4" s="21"/>
      <c r="E4" s="21" t="s">
        <v>345</v>
      </c>
    </row>
  </sheetData>
  <mergeCells count="3">
    <mergeCell ref="A1:D1"/>
    <mergeCell ref="A2:B2"/>
    <mergeCell ref="A3:B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1"/>
  <sheetViews>
    <sheetView showGridLines="0" workbookViewId="0">
      <selection activeCell="K7" sqref="K7"/>
    </sheetView>
  </sheetViews>
  <sheetFormatPr defaultColWidth="9.140625" defaultRowHeight="15"/>
  <cols>
    <col min="1" max="1" width="10.85546875" style="178" customWidth="1"/>
    <col min="2" max="2" width="17.42578125" style="133" customWidth="1"/>
    <col min="3" max="3" width="14.7109375" style="133" customWidth="1"/>
    <col min="4" max="11" width="12" style="133" customWidth="1"/>
    <col min="12" max="12" width="17.85546875" style="133" customWidth="1"/>
    <col min="13" max="13" width="18.28515625" style="133" customWidth="1"/>
    <col min="14" max="16384" width="9.140625" style="133"/>
  </cols>
  <sheetData>
    <row r="1" spans="1:20" ht="17.25" customHeight="1">
      <c r="A1" s="548" t="s">
        <v>405</v>
      </c>
      <c r="B1" s="548"/>
      <c r="C1" s="548"/>
      <c r="D1" s="548"/>
      <c r="E1" s="548"/>
      <c r="F1" s="548"/>
      <c r="G1" s="548"/>
      <c r="H1" s="548"/>
      <c r="I1" s="548"/>
      <c r="J1" s="548"/>
      <c r="K1" s="548"/>
      <c r="L1" s="548"/>
      <c r="M1" s="548"/>
    </row>
    <row r="2" spans="1:20" ht="17.25" customHeight="1">
      <c r="A2" s="549" t="s">
        <v>353</v>
      </c>
      <c r="B2" s="549"/>
      <c r="C2" s="549"/>
      <c r="D2" s="549"/>
      <c r="E2" s="549"/>
      <c r="F2" s="549"/>
      <c r="G2" s="549"/>
      <c r="H2" s="549"/>
      <c r="I2" s="549"/>
      <c r="J2" s="549"/>
    </row>
    <row r="3" spans="1:20" s="129" customFormat="1">
      <c r="A3" s="487" t="s">
        <v>0</v>
      </c>
      <c r="B3" s="487" t="s">
        <v>346</v>
      </c>
      <c r="C3" s="528" t="s">
        <v>136</v>
      </c>
      <c r="D3" s="528"/>
      <c r="E3" s="528"/>
      <c r="F3" s="528"/>
      <c r="G3" s="528"/>
      <c r="H3" s="528"/>
      <c r="I3" s="502" t="s">
        <v>360</v>
      </c>
      <c r="J3" s="503"/>
      <c r="K3" s="503"/>
      <c r="L3" s="504"/>
      <c r="M3" s="528" t="s">
        <v>118</v>
      </c>
      <c r="N3" s="173"/>
      <c r="O3" s="173"/>
      <c r="P3" s="173"/>
      <c r="Q3" s="173"/>
      <c r="R3" s="173"/>
      <c r="S3" s="173"/>
      <c r="T3" s="173"/>
    </row>
    <row r="4" spans="1:20" s="173" customFormat="1" ht="118.5" customHeight="1">
      <c r="A4" s="487"/>
      <c r="B4" s="487"/>
      <c r="C4" s="128" t="s">
        <v>347</v>
      </c>
      <c r="D4" s="128" t="s">
        <v>348</v>
      </c>
      <c r="E4" s="128" t="s">
        <v>349</v>
      </c>
      <c r="F4" s="128" t="s">
        <v>122</v>
      </c>
      <c r="G4" s="128" t="s">
        <v>123</v>
      </c>
      <c r="H4" s="128" t="s">
        <v>124</v>
      </c>
      <c r="I4" s="128" t="s">
        <v>349</v>
      </c>
      <c r="J4" s="128" t="s">
        <v>350</v>
      </c>
      <c r="K4" s="128" t="s">
        <v>351</v>
      </c>
      <c r="L4" s="128" t="s">
        <v>352</v>
      </c>
      <c r="M4" s="528"/>
    </row>
    <row r="5" spans="1:20">
      <c r="A5" s="154"/>
      <c r="B5" s="154"/>
      <c r="C5" s="154"/>
      <c r="D5" s="154"/>
      <c r="E5" s="154"/>
      <c r="F5" s="154"/>
      <c r="G5" s="154"/>
      <c r="H5" s="154"/>
      <c r="I5" s="154"/>
      <c r="J5" s="154" t="s">
        <v>14</v>
      </c>
      <c r="K5" s="154" t="s">
        <v>15</v>
      </c>
      <c r="L5" s="154" t="s">
        <v>224</v>
      </c>
      <c r="M5" s="154"/>
    </row>
    <row r="6" spans="1:20" s="129" customFormat="1" ht="15.75" customHeight="1">
      <c r="A6" s="175">
        <v>1</v>
      </c>
      <c r="B6" s="191" t="s">
        <v>227</v>
      </c>
      <c r="C6" s="192"/>
      <c r="D6" s="192"/>
      <c r="E6" s="192"/>
      <c r="F6" s="192"/>
      <c r="G6" s="192"/>
      <c r="H6" s="192"/>
      <c r="I6" s="192"/>
      <c r="J6" s="192"/>
      <c r="K6" s="192"/>
      <c r="L6" s="193">
        <v>0</v>
      </c>
      <c r="M6" s="165"/>
    </row>
    <row r="7" spans="1:20" s="125" customFormat="1">
      <c r="A7" s="175"/>
      <c r="B7" s="160"/>
      <c r="C7" s="160"/>
      <c r="D7" s="160"/>
      <c r="E7" s="160"/>
      <c r="F7" s="160"/>
      <c r="G7" s="160"/>
      <c r="H7" s="160"/>
      <c r="I7" s="160"/>
      <c r="J7" s="160"/>
      <c r="K7" s="160"/>
      <c r="L7" s="193">
        <f>(J7*K7)/100000</f>
        <v>0</v>
      </c>
      <c r="M7" s="160"/>
    </row>
    <row r="8" spans="1:20" s="125" customFormat="1">
      <c r="A8" s="175"/>
      <c r="B8" s="160"/>
      <c r="C8" s="160"/>
      <c r="D8" s="160"/>
      <c r="E8" s="160"/>
      <c r="F8" s="160"/>
      <c r="G8" s="160"/>
      <c r="H8" s="160"/>
      <c r="I8" s="160"/>
      <c r="J8" s="160"/>
      <c r="K8" s="160"/>
      <c r="L8" s="193">
        <f>(J8*K8)/100000</f>
        <v>0</v>
      </c>
      <c r="M8" s="160"/>
    </row>
    <row r="9" spans="1:20">
      <c r="A9" s="134"/>
      <c r="B9" s="132"/>
      <c r="C9" s="132"/>
      <c r="D9" s="132"/>
      <c r="E9" s="132"/>
      <c r="F9" s="132"/>
      <c r="G9" s="132"/>
      <c r="H9" s="132"/>
      <c r="I9" s="132"/>
      <c r="J9" s="132"/>
      <c r="K9" s="132"/>
      <c r="L9" s="193">
        <f>(J9*K9)/100000</f>
        <v>0</v>
      </c>
      <c r="M9" s="132"/>
    </row>
    <row r="10" spans="1:20">
      <c r="A10" s="134"/>
      <c r="B10" s="132"/>
      <c r="C10" s="132"/>
      <c r="D10" s="132"/>
      <c r="E10" s="132"/>
      <c r="F10" s="132"/>
      <c r="G10" s="132"/>
      <c r="H10" s="132"/>
      <c r="I10" s="132"/>
      <c r="J10" s="132"/>
      <c r="K10" s="132"/>
      <c r="L10" s="193">
        <f>(J10*K10)/100000</f>
        <v>0</v>
      </c>
      <c r="M10" s="132"/>
    </row>
    <row r="11" spans="1:20" s="177" customFormat="1">
      <c r="A11" s="176" t="s">
        <v>86</v>
      </c>
      <c r="B11" s="194"/>
      <c r="C11" s="136">
        <f>SUM(C6:C10)</f>
        <v>0</v>
      </c>
      <c r="D11" s="204"/>
      <c r="E11" s="204"/>
      <c r="F11" s="136">
        <f>SUM(F6:F10)</f>
        <v>0</v>
      </c>
      <c r="G11" s="136">
        <f>SUM(G6:G10)</f>
        <v>0</v>
      </c>
      <c r="H11" s="136">
        <f>SUM(H6:H10)</f>
        <v>0</v>
      </c>
      <c r="I11" s="201"/>
      <c r="J11" s="136">
        <f>SUM(J6:J10)</f>
        <v>0</v>
      </c>
      <c r="K11" s="204"/>
      <c r="L11" s="136">
        <f>SUM(L6:L10)</f>
        <v>0</v>
      </c>
      <c r="M11" s="204"/>
    </row>
  </sheetData>
  <mergeCells count="7">
    <mergeCell ref="A1:M1"/>
    <mergeCell ref="M3:M4"/>
    <mergeCell ref="A2:J2"/>
    <mergeCell ref="A3:A4"/>
    <mergeCell ref="B3:B4"/>
    <mergeCell ref="C3:H3"/>
    <mergeCell ref="I3:L3"/>
  </mergeCells>
  <pageMargins left="0.7" right="0.7" top="0.75" bottom="0.75" header="0.3" footer="0.3"/>
  <pageSetup paperSize="9" orientation="portrait" horizontalDpi="4294967295" verticalDpi="4294967295"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SheetLayoutView="115" workbookViewId="0">
      <selection activeCell="D18" sqref="D18"/>
    </sheetView>
  </sheetViews>
  <sheetFormatPr defaultRowHeight="15"/>
  <cols>
    <col min="1" max="1" width="20.7109375" style="7" bestFit="1" customWidth="1"/>
    <col min="2" max="2" width="12.42578125" style="2" customWidth="1"/>
    <col min="3" max="3" width="10.140625" style="2" customWidth="1"/>
    <col min="4" max="4" width="15" style="2" customWidth="1"/>
    <col min="5" max="12" width="15.42578125" style="2" customWidth="1"/>
  </cols>
  <sheetData>
    <row r="1" spans="1:12" ht="60">
      <c r="A1" s="550" t="s">
        <v>1</v>
      </c>
      <c r="B1" s="1" t="s">
        <v>39</v>
      </c>
      <c r="C1" s="6" t="s">
        <v>6</v>
      </c>
      <c r="D1" s="6" t="s">
        <v>2</v>
      </c>
      <c r="E1" s="6" t="s">
        <v>7</v>
      </c>
      <c r="F1" s="6" t="s">
        <v>9</v>
      </c>
      <c r="G1" s="6" t="s">
        <v>10</v>
      </c>
      <c r="H1" s="6" t="s">
        <v>11</v>
      </c>
      <c r="I1" s="6" t="s">
        <v>12</v>
      </c>
      <c r="J1" s="6" t="s">
        <v>13</v>
      </c>
      <c r="K1" s="6" t="s">
        <v>3</v>
      </c>
      <c r="L1" s="6" t="s">
        <v>8</v>
      </c>
    </row>
    <row r="2" spans="1:12" ht="17.25" customHeight="1">
      <c r="A2" s="551"/>
      <c r="B2" s="1" t="s">
        <v>14</v>
      </c>
      <c r="C2" s="1" t="s">
        <v>15</v>
      </c>
      <c r="D2" s="6" t="s">
        <v>16</v>
      </c>
      <c r="E2" s="6" t="s">
        <v>17</v>
      </c>
      <c r="F2" s="6" t="s">
        <v>20</v>
      </c>
      <c r="G2" s="6" t="s">
        <v>21</v>
      </c>
      <c r="H2" s="6" t="s">
        <v>22</v>
      </c>
      <c r="I2" s="6" t="s">
        <v>23</v>
      </c>
      <c r="J2" s="6" t="s">
        <v>24</v>
      </c>
      <c r="K2" s="6" t="s">
        <v>18</v>
      </c>
      <c r="L2" s="6" t="s">
        <v>19</v>
      </c>
    </row>
    <row r="3" spans="1:12">
      <c r="A3" s="11" t="s">
        <v>51</v>
      </c>
      <c r="B3" s="8">
        <v>3</v>
      </c>
      <c r="C3" s="8">
        <v>0</v>
      </c>
      <c r="D3" s="8">
        <v>10</v>
      </c>
      <c r="E3" s="8">
        <f t="shared" ref="E3:E38" si="0">5*B3</f>
        <v>15</v>
      </c>
      <c r="F3" s="8">
        <f t="shared" ref="F3:F38" si="1">3*4000*C3</f>
        <v>0</v>
      </c>
      <c r="G3" s="8">
        <f t="shared" ref="G3:G38" si="2">3*2000*E3</f>
        <v>90000</v>
      </c>
      <c r="H3" s="8">
        <f t="shared" ref="H3:H38" si="3">SUM(D3:E3)*300*3</f>
        <v>22500</v>
      </c>
      <c r="I3" s="8">
        <f t="shared" ref="I3:I38" si="4">SUM(C3:E3)*350</f>
        <v>8750</v>
      </c>
      <c r="J3" s="8">
        <f t="shared" ref="J3:J38" si="5">3*10000</f>
        <v>30000</v>
      </c>
      <c r="K3" s="9">
        <f t="shared" ref="K3:K38" si="6">SUM(F3:J3)</f>
        <v>151250</v>
      </c>
      <c r="L3" s="10">
        <f t="shared" ref="L3:L38" si="7">2*K3</f>
        <v>302500</v>
      </c>
    </row>
    <row r="4" spans="1:12">
      <c r="A4" s="11" t="s">
        <v>52</v>
      </c>
      <c r="B4" s="8">
        <v>13</v>
      </c>
      <c r="C4" s="8">
        <v>0</v>
      </c>
      <c r="D4" s="8">
        <v>10</v>
      </c>
      <c r="E4" s="8">
        <f t="shared" si="0"/>
        <v>65</v>
      </c>
      <c r="F4" s="8">
        <f t="shared" si="1"/>
        <v>0</v>
      </c>
      <c r="G4" s="8">
        <f t="shared" si="2"/>
        <v>390000</v>
      </c>
      <c r="H4" s="8">
        <f t="shared" si="3"/>
        <v>67500</v>
      </c>
      <c r="I4" s="8">
        <f t="shared" si="4"/>
        <v>26250</v>
      </c>
      <c r="J4" s="8">
        <f t="shared" si="5"/>
        <v>30000</v>
      </c>
      <c r="K4" s="9">
        <f t="shared" si="6"/>
        <v>513750</v>
      </c>
      <c r="L4" s="10">
        <f t="shared" si="7"/>
        <v>1027500</v>
      </c>
    </row>
    <row r="5" spans="1:12">
      <c r="A5" s="11" t="s">
        <v>53</v>
      </c>
      <c r="B5" s="8">
        <v>16</v>
      </c>
      <c r="C5" s="8">
        <v>0</v>
      </c>
      <c r="D5" s="8">
        <v>10</v>
      </c>
      <c r="E5" s="8">
        <f t="shared" si="0"/>
        <v>80</v>
      </c>
      <c r="F5" s="8">
        <f t="shared" si="1"/>
        <v>0</v>
      </c>
      <c r="G5" s="8">
        <f t="shared" si="2"/>
        <v>480000</v>
      </c>
      <c r="H5" s="8">
        <f t="shared" si="3"/>
        <v>81000</v>
      </c>
      <c r="I5" s="8">
        <f t="shared" si="4"/>
        <v>31500</v>
      </c>
      <c r="J5" s="8">
        <f t="shared" si="5"/>
        <v>30000</v>
      </c>
      <c r="K5" s="9">
        <f t="shared" si="6"/>
        <v>622500</v>
      </c>
      <c r="L5" s="10">
        <f t="shared" si="7"/>
        <v>1245000</v>
      </c>
    </row>
    <row r="6" spans="1:12">
      <c r="A6" s="11" t="s">
        <v>54</v>
      </c>
      <c r="B6" s="8">
        <v>27</v>
      </c>
      <c r="C6" s="8">
        <v>0</v>
      </c>
      <c r="D6" s="8">
        <v>10</v>
      </c>
      <c r="E6" s="8">
        <f t="shared" si="0"/>
        <v>135</v>
      </c>
      <c r="F6" s="8">
        <f t="shared" si="1"/>
        <v>0</v>
      </c>
      <c r="G6" s="8">
        <f t="shared" si="2"/>
        <v>810000</v>
      </c>
      <c r="H6" s="8">
        <f t="shared" si="3"/>
        <v>130500</v>
      </c>
      <c r="I6" s="8">
        <f t="shared" si="4"/>
        <v>50750</v>
      </c>
      <c r="J6" s="8">
        <f t="shared" si="5"/>
        <v>30000</v>
      </c>
      <c r="K6" s="9">
        <f t="shared" si="6"/>
        <v>1021250</v>
      </c>
      <c r="L6" s="10">
        <f t="shared" si="7"/>
        <v>2042500</v>
      </c>
    </row>
    <row r="7" spans="1:12">
      <c r="A7" s="11" t="s">
        <v>55</v>
      </c>
      <c r="B7" s="8">
        <v>38</v>
      </c>
      <c r="C7" s="8">
        <v>0</v>
      </c>
      <c r="D7" s="8">
        <v>10</v>
      </c>
      <c r="E7" s="8">
        <f t="shared" si="0"/>
        <v>190</v>
      </c>
      <c r="F7" s="8">
        <f t="shared" si="1"/>
        <v>0</v>
      </c>
      <c r="G7" s="8">
        <f t="shared" si="2"/>
        <v>1140000</v>
      </c>
      <c r="H7" s="8">
        <f t="shared" si="3"/>
        <v>180000</v>
      </c>
      <c r="I7" s="8">
        <f t="shared" si="4"/>
        <v>70000</v>
      </c>
      <c r="J7" s="8">
        <f t="shared" si="5"/>
        <v>30000</v>
      </c>
      <c r="K7" s="9">
        <f t="shared" si="6"/>
        <v>1420000</v>
      </c>
      <c r="L7" s="10">
        <f t="shared" si="7"/>
        <v>2840000</v>
      </c>
    </row>
    <row r="8" spans="1:12">
      <c r="A8" s="11" t="s">
        <v>56</v>
      </c>
      <c r="B8" s="8">
        <v>1</v>
      </c>
      <c r="C8" s="8">
        <v>0</v>
      </c>
      <c r="D8" s="8">
        <v>10</v>
      </c>
      <c r="E8" s="8">
        <f t="shared" si="0"/>
        <v>5</v>
      </c>
      <c r="F8" s="8">
        <f t="shared" si="1"/>
        <v>0</v>
      </c>
      <c r="G8" s="8">
        <f t="shared" si="2"/>
        <v>30000</v>
      </c>
      <c r="H8" s="8">
        <f t="shared" si="3"/>
        <v>13500</v>
      </c>
      <c r="I8" s="8">
        <f t="shared" si="4"/>
        <v>5250</v>
      </c>
      <c r="J8" s="8">
        <f t="shared" si="5"/>
        <v>30000</v>
      </c>
      <c r="K8" s="9">
        <f t="shared" si="6"/>
        <v>78750</v>
      </c>
      <c r="L8" s="10">
        <f t="shared" si="7"/>
        <v>157500</v>
      </c>
    </row>
    <row r="9" spans="1:12">
      <c r="A9" s="11" t="s">
        <v>57</v>
      </c>
      <c r="B9" s="8">
        <v>27</v>
      </c>
      <c r="C9" s="8">
        <v>0</v>
      </c>
      <c r="D9" s="8">
        <v>10</v>
      </c>
      <c r="E9" s="8">
        <f t="shared" si="0"/>
        <v>135</v>
      </c>
      <c r="F9" s="8">
        <f t="shared" si="1"/>
        <v>0</v>
      </c>
      <c r="G9" s="8">
        <f t="shared" si="2"/>
        <v>810000</v>
      </c>
      <c r="H9" s="8">
        <f t="shared" si="3"/>
        <v>130500</v>
      </c>
      <c r="I9" s="8">
        <f t="shared" si="4"/>
        <v>50750</v>
      </c>
      <c r="J9" s="8">
        <f t="shared" si="5"/>
        <v>30000</v>
      </c>
      <c r="K9" s="9">
        <f t="shared" si="6"/>
        <v>1021250</v>
      </c>
      <c r="L9" s="10">
        <f t="shared" si="7"/>
        <v>2042500</v>
      </c>
    </row>
    <row r="10" spans="1:12">
      <c r="A10" s="11" t="s">
        <v>58</v>
      </c>
      <c r="B10" s="8">
        <v>1</v>
      </c>
      <c r="C10" s="8">
        <v>0</v>
      </c>
      <c r="D10" s="8">
        <v>10</v>
      </c>
      <c r="E10" s="8">
        <f t="shared" si="0"/>
        <v>5</v>
      </c>
      <c r="F10" s="8">
        <f t="shared" si="1"/>
        <v>0</v>
      </c>
      <c r="G10" s="8">
        <f t="shared" si="2"/>
        <v>30000</v>
      </c>
      <c r="H10" s="8">
        <f t="shared" si="3"/>
        <v>13500</v>
      </c>
      <c r="I10" s="8">
        <f t="shared" si="4"/>
        <v>5250</v>
      </c>
      <c r="J10" s="8">
        <f t="shared" si="5"/>
        <v>30000</v>
      </c>
      <c r="K10" s="9">
        <f t="shared" si="6"/>
        <v>78750</v>
      </c>
      <c r="L10" s="10">
        <f t="shared" si="7"/>
        <v>157500</v>
      </c>
    </row>
    <row r="11" spans="1:12">
      <c r="A11" s="11" t="s">
        <v>59</v>
      </c>
      <c r="B11" s="8">
        <v>2</v>
      </c>
      <c r="C11" s="8">
        <v>0</v>
      </c>
      <c r="D11" s="8">
        <v>10</v>
      </c>
      <c r="E11" s="8">
        <f t="shared" si="0"/>
        <v>10</v>
      </c>
      <c r="F11" s="8">
        <f t="shared" si="1"/>
        <v>0</v>
      </c>
      <c r="G11" s="8">
        <f t="shared" si="2"/>
        <v>60000</v>
      </c>
      <c r="H11" s="8">
        <f t="shared" si="3"/>
        <v>18000</v>
      </c>
      <c r="I11" s="8">
        <f t="shared" si="4"/>
        <v>7000</v>
      </c>
      <c r="J11" s="8">
        <f t="shared" si="5"/>
        <v>30000</v>
      </c>
      <c r="K11" s="9">
        <f t="shared" si="6"/>
        <v>115000</v>
      </c>
      <c r="L11" s="10">
        <f t="shared" si="7"/>
        <v>230000</v>
      </c>
    </row>
    <row r="12" spans="1:12">
      <c r="A12" s="11" t="s">
        <v>60</v>
      </c>
      <c r="B12" s="8">
        <v>11</v>
      </c>
      <c r="C12" s="8">
        <v>0</v>
      </c>
      <c r="D12" s="8">
        <v>10</v>
      </c>
      <c r="E12" s="8">
        <f t="shared" si="0"/>
        <v>55</v>
      </c>
      <c r="F12" s="8">
        <f t="shared" si="1"/>
        <v>0</v>
      </c>
      <c r="G12" s="8">
        <f t="shared" si="2"/>
        <v>330000</v>
      </c>
      <c r="H12" s="8">
        <f t="shared" si="3"/>
        <v>58500</v>
      </c>
      <c r="I12" s="8">
        <f t="shared" si="4"/>
        <v>22750</v>
      </c>
      <c r="J12" s="8">
        <f t="shared" si="5"/>
        <v>30000</v>
      </c>
      <c r="K12" s="9">
        <f t="shared" si="6"/>
        <v>441250</v>
      </c>
      <c r="L12" s="10">
        <f t="shared" si="7"/>
        <v>882500</v>
      </c>
    </row>
    <row r="13" spans="1:12">
      <c r="A13" s="11" t="s">
        <v>5</v>
      </c>
      <c r="B13" s="8">
        <v>2</v>
      </c>
      <c r="C13" s="8">
        <v>0</v>
      </c>
      <c r="D13" s="8">
        <v>10</v>
      </c>
      <c r="E13" s="8">
        <f t="shared" si="0"/>
        <v>10</v>
      </c>
      <c r="F13" s="8">
        <f t="shared" si="1"/>
        <v>0</v>
      </c>
      <c r="G13" s="8">
        <f t="shared" si="2"/>
        <v>60000</v>
      </c>
      <c r="H13" s="8">
        <f t="shared" si="3"/>
        <v>18000</v>
      </c>
      <c r="I13" s="8">
        <f t="shared" si="4"/>
        <v>7000</v>
      </c>
      <c r="J13" s="8">
        <f t="shared" si="5"/>
        <v>30000</v>
      </c>
      <c r="K13" s="9">
        <f t="shared" si="6"/>
        <v>115000</v>
      </c>
      <c r="L13" s="10">
        <f t="shared" si="7"/>
        <v>230000</v>
      </c>
    </row>
    <row r="14" spans="1:12">
      <c r="A14" s="11" t="s">
        <v>61</v>
      </c>
      <c r="B14" s="8">
        <v>33</v>
      </c>
      <c r="C14" s="8">
        <v>0</v>
      </c>
      <c r="D14" s="8">
        <v>10</v>
      </c>
      <c r="E14" s="8">
        <f t="shared" si="0"/>
        <v>165</v>
      </c>
      <c r="F14" s="8">
        <f t="shared" si="1"/>
        <v>0</v>
      </c>
      <c r="G14" s="8">
        <f t="shared" si="2"/>
        <v>990000</v>
      </c>
      <c r="H14" s="8">
        <f t="shared" si="3"/>
        <v>157500</v>
      </c>
      <c r="I14" s="8">
        <f t="shared" si="4"/>
        <v>61250</v>
      </c>
      <c r="J14" s="8">
        <f t="shared" si="5"/>
        <v>30000</v>
      </c>
      <c r="K14" s="9">
        <f t="shared" si="6"/>
        <v>1238750</v>
      </c>
      <c r="L14" s="10">
        <f t="shared" si="7"/>
        <v>2477500</v>
      </c>
    </row>
    <row r="15" spans="1:12">
      <c r="A15" s="11" t="s">
        <v>62</v>
      </c>
      <c r="B15" s="8">
        <v>21</v>
      </c>
      <c r="C15" s="8">
        <v>0</v>
      </c>
      <c r="D15" s="8">
        <v>10</v>
      </c>
      <c r="E15" s="8">
        <f t="shared" si="0"/>
        <v>105</v>
      </c>
      <c r="F15" s="8">
        <f t="shared" si="1"/>
        <v>0</v>
      </c>
      <c r="G15" s="8">
        <f t="shared" si="2"/>
        <v>630000</v>
      </c>
      <c r="H15" s="8">
        <f t="shared" si="3"/>
        <v>103500</v>
      </c>
      <c r="I15" s="8">
        <f t="shared" si="4"/>
        <v>40250</v>
      </c>
      <c r="J15" s="8">
        <f t="shared" si="5"/>
        <v>30000</v>
      </c>
      <c r="K15" s="9">
        <f t="shared" si="6"/>
        <v>803750</v>
      </c>
      <c r="L15" s="10">
        <f t="shared" si="7"/>
        <v>1607500</v>
      </c>
    </row>
    <row r="16" spans="1:12">
      <c r="A16" s="11" t="s">
        <v>63</v>
      </c>
      <c r="B16" s="8">
        <v>12</v>
      </c>
      <c r="C16" s="8">
        <v>0</v>
      </c>
      <c r="D16" s="8">
        <v>10</v>
      </c>
      <c r="E16" s="8">
        <f t="shared" si="0"/>
        <v>60</v>
      </c>
      <c r="F16" s="8">
        <f t="shared" si="1"/>
        <v>0</v>
      </c>
      <c r="G16" s="8">
        <f t="shared" si="2"/>
        <v>360000</v>
      </c>
      <c r="H16" s="8">
        <f t="shared" si="3"/>
        <v>63000</v>
      </c>
      <c r="I16" s="8">
        <f t="shared" si="4"/>
        <v>24500</v>
      </c>
      <c r="J16" s="8">
        <f t="shared" si="5"/>
        <v>30000</v>
      </c>
      <c r="K16" s="9">
        <f t="shared" si="6"/>
        <v>477500</v>
      </c>
      <c r="L16" s="10">
        <f t="shared" si="7"/>
        <v>955000</v>
      </c>
    </row>
    <row r="17" spans="1:12">
      <c r="A17" s="11" t="s">
        <v>64</v>
      </c>
      <c r="B17" s="8">
        <v>22</v>
      </c>
      <c r="C17" s="8">
        <v>0</v>
      </c>
      <c r="D17" s="8">
        <v>10</v>
      </c>
      <c r="E17" s="8">
        <f t="shared" si="0"/>
        <v>110</v>
      </c>
      <c r="F17" s="8">
        <f t="shared" si="1"/>
        <v>0</v>
      </c>
      <c r="G17" s="8">
        <f t="shared" si="2"/>
        <v>660000</v>
      </c>
      <c r="H17" s="8">
        <f t="shared" si="3"/>
        <v>108000</v>
      </c>
      <c r="I17" s="8">
        <f t="shared" si="4"/>
        <v>42000</v>
      </c>
      <c r="J17" s="8">
        <f t="shared" si="5"/>
        <v>30000</v>
      </c>
      <c r="K17" s="9">
        <f t="shared" si="6"/>
        <v>840000</v>
      </c>
      <c r="L17" s="10">
        <f t="shared" si="7"/>
        <v>1680000</v>
      </c>
    </row>
    <row r="18" spans="1:12">
      <c r="A18" s="11" t="s">
        <v>65</v>
      </c>
      <c r="B18" s="8">
        <v>24</v>
      </c>
      <c r="C18" s="8">
        <v>0</v>
      </c>
      <c r="D18" s="8">
        <v>10</v>
      </c>
      <c r="E18" s="8">
        <f t="shared" si="0"/>
        <v>120</v>
      </c>
      <c r="F18" s="8">
        <f t="shared" si="1"/>
        <v>0</v>
      </c>
      <c r="G18" s="8">
        <f t="shared" si="2"/>
        <v>720000</v>
      </c>
      <c r="H18" s="8">
        <f t="shared" si="3"/>
        <v>117000</v>
      </c>
      <c r="I18" s="8">
        <f t="shared" si="4"/>
        <v>45500</v>
      </c>
      <c r="J18" s="8">
        <f t="shared" si="5"/>
        <v>30000</v>
      </c>
      <c r="K18" s="9">
        <f t="shared" si="6"/>
        <v>912500</v>
      </c>
      <c r="L18" s="10">
        <f t="shared" si="7"/>
        <v>1825000</v>
      </c>
    </row>
    <row r="19" spans="1:12">
      <c r="A19" s="11" t="s">
        <v>66</v>
      </c>
      <c r="B19" s="8">
        <v>30</v>
      </c>
      <c r="C19" s="8">
        <v>0</v>
      </c>
      <c r="D19" s="8">
        <v>10</v>
      </c>
      <c r="E19" s="8">
        <f t="shared" si="0"/>
        <v>150</v>
      </c>
      <c r="F19" s="8">
        <f t="shared" si="1"/>
        <v>0</v>
      </c>
      <c r="G19" s="8">
        <f t="shared" si="2"/>
        <v>900000</v>
      </c>
      <c r="H19" s="8">
        <f t="shared" si="3"/>
        <v>144000</v>
      </c>
      <c r="I19" s="8">
        <f t="shared" si="4"/>
        <v>56000</v>
      </c>
      <c r="J19" s="8">
        <f t="shared" si="5"/>
        <v>30000</v>
      </c>
      <c r="K19" s="9">
        <f t="shared" si="6"/>
        <v>1130000</v>
      </c>
      <c r="L19" s="10">
        <f t="shared" si="7"/>
        <v>2260000</v>
      </c>
    </row>
    <row r="20" spans="1:12">
      <c r="A20" s="11" t="s">
        <v>67</v>
      </c>
      <c r="B20" s="8">
        <v>14</v>
      </c>
      <c r="C20" s="8">
        <v>0</v>
      </c>
      <c r="D20" s="8">
        <v>10</v>
      </c>
      <c r="E20" s="8">
        <f t="shared" si="0"/>
        <v>70</v>
      </c>
      <c r="F20" s="8">
        <f t="shared" si="1"/>
        <v>0</v>
      </c>
      <c r="G20" s="8">
        <f t="shared" si="2"/>
        <v>420000</v>
      </c>
      <c r="H20" s="8">
        <f t="shared" si="3"/>
        <v>72000</v>
      </c>
      <c r="I20" s="8">
        <f t="shared" si="4"/>
        <v>28000</v>
      </c>
      <c r="J20" s="8">
        <f t="shared" si="5"/>
        <v>30000</v>
      </c>
      <c r="K20" s="9">
        <f t="shared" si="6"/>
        <v>550000</v>
      </c>
      <c r="L20" s="10">
        <f t="shared" si="7"/>
        <v>1100000</v>
      </c>
    </row>
    <row r="21" spans="1:12">
      <c r="A21" s="11" t="s">
        <v>68</v>
      </c>
      <c r="B21" s="8">
        <v>1</v>
      </c>
      <c r="C21" s="8">
        <v>0</v>
      </c>
      <c r="D21" s="8">
        <v>10</v>
      </c>
      <c r="E21" s="8">
        <f t="shared" si="0"/>
        <v>5</v>
      </c>
      <c r="F21" s="8">
        <f t="shared" si="1"/>
        <v>0</v>
      </c>
      <c r="G21" s="8">
        <f t="shared" si="2"/>
        <v>30000</v>
      </c>
      <c r="H21" s="8">
        <f t="shared" si="3"/>
        <v>13500</v>
      </c>
      <c r="I21" s="8">
        <f t="shared" si="4"/>
        <v>5250</v>
      </c>
      <c r="J21" s="8">
        <f t="shared" si="5"/>
        <v>30000</v>
      </c>
      <c r="K21" s="9">
        <f t="shared" si="6"/>
        <v>78750</v>
      </c>
      <c r="L21" s="10">
        <f t="shared" si="7"/>
        <v>157500</v>
      </c>
    </row>
    <row r="22" spans="1:12">
      <c r="A22" s="11" t="s">
        <v>69</v>
      </c>
      <c r="B22" s="8">
        <v>51</v>
      </c>
      <c r="C22" s="8">
        <v>0</v>
      </c>
      <c r="D22" s="8">
        <v>10</v>
      </c>
      <c r="E22" s="8">
        <f t="shared" si="0"/>
        <v>255</v>
      </c>
      <c r="F22" s="8">
        <f t="shared" si="1"/>
        <v>0</v>
      </c>
      <c r="G22" s="8">
        <f t="shared" si="2"/>
        <v>1530000</v>
      </c>
      <c r="H22" s="8">
        <f t="shared" si="3"/>
        <v>238500</v>
      </c>
      <c r="I22" s="8">
        <f t="shared" si="4"/>
        <v>92750</v>
      </c>
      <c r="J22" s="8">
        <f t="shared" si="5"/>
        <v>30000</v>
      </c>
      <c r="K22" s="9">
        <f t="shared" si="6"/>
        <v>1891250</v>
      </c>
      <c r="L22" s="10">
        <f t="shared" si="7"/>
        <v>3782500</v>
      </c>
    </row>
    <row r="23" spans="1:12">
      <c r="A23" s="11" t="s">
        <v>70</v>
      </c>
      <c r="B23" s="8">
        <v>35</v>
      </c>
      <c r="C23" s="8">
        <v>0</v>
      </c>
      <c r="D23" s="8">
        <v>10</v>
      </c>
      <c r="E23" s="8">
        <f t="shared" si="0"/>
        <v>175</v>
      </c>
      <c r="F23" s="8">
        <f t="shared" si="1"/>
        <v>0</v>
      </c>
      <c r="G23" s="8">
        <f t="shared" si="2"/>
        <v>1050000</v>
      </c>
      <c r="H23" s="8">
        <f t="shared" si="3"/>
        <v>166500</v>
      </c>
      <c r="I23" s="8">
        <f t="shared" si="4"/>
        <v>64750</v>
      </c>
      <c r="J23" s="8">
        <f t="shared" si="5"/>
        <v>30000</v>
      </c>
      <c r="K23" s="9">
        <f t="shared" si="6"/>
        <v>1311250</v>
      </c>
      <c r="L23" s="10">
        <f t="shared" si="7"/>
        <v>2622500</v>
      </c>
    </row>
    <row r="24" spans="1:12">
      <c r="A24" s="11" t="s">
        <v>71</v>
      </c>
      <c r="B24" s="8">
        <v>9</v>
      </c>
      <c r="C24" s="8">
        <v>0</v>
      </c>
      <c r="D24" s="8">
        <v>10</v>
      </c>
      <c r="E24" s="8">
        <f t="shared" si="0"/>
        <v>45</v>
      </c>
      <c r="F24" s="8">
        <f t="shared" si="1"/>
        <v>0</v>
      </c>
      <c r="G24" s="8">
        <f t="shared" si="2"/>
        <v>270000</v>
      </c>
      <c r="H24" s="8">
        <f t="shared" si="3"/>
        <v>49500</v>
      </c>
      <c r="I24" s="8">
        <f t="shared" si="4"/>
        <v>19250</v>
      </c>
      <c r="J24" s="8">
        <f t="shared" si="5"/>
        <v>30000</v>
      </c>
      <c r="K24" s="9">
        <f t="shared" si="6"/>
        <v>368750</v>
      </c>
      <c r="L24" s="10">
        <f t="shared" si="7"/>
        <v>737500</v>
      </c>
    </row>
    <row r="25" spans="1:12">
      <c r="A25" s="11" t="s">
        <v>72</v>
      </c>
      <c r="B25" s="8">
        <v>11</v>
      </c>
      <c r="C25" s="8">
        <v>0</v>
      </c>
      <c r="D25" s="8">
        <v>10</v>
      </c>
      <c r="E25" s="8">
        <f t="shared" si="0"/>
        <v>55</v>
      </c>
      <c r="F25" s="8">
        <f t="shared" si="1"/>
        <v>0</v>
      </c>
      <c r="G25" s="8">
        <f t="shared" si="2"/>
        <v>330000</v>
      </c>
      <c r="H25" s="8">
        <f t="shared" si="3"/>
        <v>58500</v>
      </c>
      <c r="I25" s="8">
        <f t="shared" si="4"/>
        <v>22750</v>
      </c>
      <c r="J25" s="8">
        <f t="shared" si="5"/>
        <v>30000</v>
      </c>
      <c r="K25" s="9">
        <f t="shared" si="6"/>
        <v>441250</v>
      </c>
      <c r="L25" s="10">
        <f t="shared" si="7"/>
        <v>882500</v>
      </c>
    </row>
    <row r="26" spans="1:12">
      <c r="A26" s="11" t="s">
        <v>73</v>
      </c>
      <c r="B26" s="8">
        <v>9</v>
      </c>
      <c r="C26" s="8">
        <v>0</v>
      </c>
      <c r="D26" s="8">
        <v>10</v>
      </c>
      <c r="E26" s="8">
        <f t="shared" si="0"/>
        <v>45</v>
      </c>
      <c r="F26" s="8">
        <f t="shared" si="1"/>
        <v>0</v>
      </c>
      <c r="G26" s="8">
        <f t="shared" si="2"/>
        <v>270000</v>
      </c>
      <c r="H26" s="8">
        <f t="shared" si="3"/>
        <v>49500</v>
      </c>
      <c r="I26" s="8">
        <f t="shared" si="4"/>
        <v>19250</v>
      </c>
      <c r="J26" s="8">
        <f t="shared" si="5"/>
        <v>30000</v>
      </c>
      <c r="K26" s="9">
        <f t="shared" si="6"/>
        <v>368750</v>
      </c>
      <c r="L26" s="10">
        <f t="shared" si="7"/>
        <v>737500</v>
      </c>
    </row>
    <row r="27" spans="1:12">
      <c r="A27" s="11" t="s">
        <v>74</v>
      </c>
      <c r="B27" s="8">
        <v>11</v>
      </c>
      <c r="C27" s="8">
        <v>0</v>
      </c>
      <c r="D27" s="8">
        <v>10</v>
      </c>
      <c r="E27" s="8">
        <f t="shared" si="0"/>
        <v>55</v>
      </c>
      <c r="F27" s="8">
        <f t="shared" si="1"/>
        <v>0</v>
      </c>
      <c r="G27" s="8">
        <f t="shared" si="2"/>
        <v>330000</v>
      </c>
      <c r="H27" s="8">
        <f t="shared" si="3"/>
        <v>58500</v>
      </c>
      <c r="I27" s="8">
        <f t="shared" si="4"/>
        <v>22750</v>
      </c>
      <c r="J27" s="8">
        <f t="shared" si="5"/>
        <v>30000</v>
      </c>
      <c r="K27" s="9">
        <f t="shared" si="6"/>
        <v>441250</v>
      </c>
      <c r="L27" s="10">
        <f t="shared" si="7"/>
        <v>882500</v>
      </c>
    </row>
    <row r="28" spans="1:12">
      <c r="A28" s="11" t="s">
        <v>75</v>
      </c>
      <c r="B28" s="8">
        <v>30</v>
      </c>
      <c r="C28" s="8">
        <v>0</v>
      </c>
      <c r="D28" s="8">
        <v>10</v>
      </c>
      <c r="E28" s="8">
        <f t="shared" si="0"/>
        <v>150</v>
      </c>
      <c r="F28" s="8">
        <f t="shared" si="1"/>
        <v>0</v>
      </c>
      <c r="G28" s="8">
        <f t="shared" si="2"/>
        <v>900000</v>
      </c>
      <c r="H28" s="8">
        <f t="shared" si="3"/>
        <v>144000</v>
      </c>
      <c r="I28" s="8">
        <f t="shared" si="4"/>
        <v>56000</v>
      </c>
      <c r="J28" s="8">
        <f t="shared" si="5"/>
        <v>30000</v>
      </c>
      <c r="K28" s="9">
        <f t="shared" si="6"/>
        <v>1130000</v>
      </c>
      <c r="L28" s="10">
        <f t="shared" si="7"/>
        <v>2260000</v>
      </c>
    </row>
    <row r="29" spans="1:12">
      <c r="A29" s="11" t="s">
        <v>76</v>
      </c>
      <c r="B29" s="8">
        <v>4</v>
      </c>
      <c r="C29" s="8">
        <v>0</v>
      </c>
      <c r="D29" s="8">
        <v>10</v>
      </c>
      <c r="E29" s="8">
        <f t="shared" si="0"/>
        <v>20</v>
      </c>
      <c r="F29" s="8">
        <f t="shared" si="1"/>
        <v>0</v>
      </c>
      <c r="G29" s="8">
        <f t="shared" si="2"/>
        <v>120000</v>
      </c>
      <c r="H29" s="8">
        <f t="shared" si="3"/>
        <v>27000</v>
      </c>
      <c r="I29" s="8">
        <f t="shared" si="4"/>
        <v>10500</v>
      </c>
      <c r="J29" s="8">
        <f t="shared" si="5"/>
        <v>30000</v>
      </c>
      <c r="K29" s="9">
        <f t="shared" si="6"/>
        <v>187500</v>
      </c>
      <c r="L29" s="10">
        <f t="shared" si="7"/>
        <v>375000</v>
      </c>
    </row>
    <row r="30" spans="1:12">
      <c r="A30" s="11" t="s">
        <v>77</v>
      </c>
      <c r="B30" s="8">
        <v>22</v>
      </c>
      <c r="C30" s="8">
        <v>0</v>
      </c>
      <c r="D30" s="8">
        <v>10</v>
      </c>
      <c r="E30" s="8">
        <f t="shared" si="0"/>
        <v>110</v>
      </c>
      <c r="F30" s="8">
        <f t="shared" si="1"/>
        <v>0</v>
      </c>
      <c r="G30" s="8">
        <f t="shared" si="2"/>
        <v>660000</v>
      </c>
      <c r="H30" s="8">
        <f t="shared" si="3"/>
        <v>108000</v>
      </c>
      <c r="I30" s="8">
        <f t="shared" si="4"/>
        <v>42000</v>
      </c>
      <c r="J30" s="8">
        <f t="shared" si="5"/>
        <v>30000</v>
      </c>
      <c r="K30" s="9">
        <f t="shared" si="6"/>
        <v>840000</v>
      </c>
      <c r="L30" s="10">
        <f t="shared" si="7"/>
        <v>1680000</v>
      </c>
    </row>
    <row r="31" spans="1:12">
      <c r="A31" s="11" t="s">
        <v>78</v>
      </c>
      <c r="B31" s="8">
        <v>33</v>
      </c>
      <c r="C31" s="8">
        <v>0</v>
      </c>
      <c r="D31" s="8">
        <v>10</v>
      </c>
      <c r="E31" s="8">
        <f t="shared" si="0"/>
        <v>165</v>
      </c>
      <c r="F31" s="8">
        <f t="shared" si="1"/>
        <v>0</v>
      </c>
      <c r="G31" s="8">
        <f t="shared" si="2"/>
        <v>990000</v>
      </c>
      <c r="H31" s="8">
        <f t="shared" si="3"/>
        <v>157500</v>
      </c>
      <c r="I31" s="8">
        <f t="shared" si="4"/>
        <v>61250</v>
      </c>
      <c r="J31" s="8">
        <f t="shared" si="5"/>
        <v>30000</v>
      </c>
      <c r="K31" s="9">
        <f t="shared" si="6"/>
        <v>1238750</v>
      </c>
      <c r="L31" s="10">
        <f t="shared" si="7"/>
        <v>2477500</v>
      </c>
    </row>
    <row r="32" spans="1:12">
      <c r="A32" s="11" t="s">
        <v>79</v>
      </c>
      <c r="B32" s="8">
        <v>4</v>
      </c>
      <c r="C32" s="8">
        <v>0</v>
      </c>
      <c r="D32" s="8">
        <v>10</v>
      </c>
      <c r="E32" s="8">
        <f t="shared" si="0"/>
        <v>20</v>
      </c>
      <c r="F32" s="8">
        <f t="shared" si="1"/>
        <v>0</v>
      </c>
      <c r="G32" s="8">
        <f t="shared" si="2"/>
        <v>120000</v>
      </c>
      <c r="H32" s="8">
        <f t="shared" si="3"/>
        <v>27000</v>
      </c>
      <c r="I32" s="8">
        <f t="shared" si="4"/>
        <v>10500</v>
      </c>
      <c r="J32" s="8">
        <f t="shared" si="5"/>
        <v>30000</v>
      </c>
      <c r="K32" s="9">
        <f t="shared" si="6"/>
        <v>187500</v>
      </c>
      <c r="L32" s="10">
        <f t="shared" si="7"/>
        <v>375000</v>
      </c>
    </row>
    <row r="33" spans="1:12">
      <c r="A33" s="11" t="s">
        <v>80</v>
      </c>
      <c r="B33" s="8">
        <v>32</v>
      </c>
      <c r="C33" s="8">
        <v>0</v>
      </c>
      <c r="D33" s="8">
        <v>10</v>
      </c>
      <c r="E33" s="8">
        <f t="shared" si="0"/>
        <v>160</v>
      </c>
      <c r="F33" s="8">
        <f t="shared" si="1"/>
        <v>0</v>
      </c>
      <c r="G33" s="8">
        <f t="shared" si="2"/>
        <v>960000</v>
      </c>
      <c r="H33" s="8">
        <f t="shared" si="3"/>
        <v>153000</v>
      </c>
      <c r="I33" s="8">
        <f t="shared" si="4"/>
        <v>59500</v>
      </c>
      <c r="J33" s="8">
        <f t="shared" si="5"/>
        <v>30000</v>
      </c>
      <c r="K33" s="9">
        <f t="shared" si="6"/>
        <v>1202500</v>
      </c>
      <c r="L33" s="10">
        <f t="shared" si="7"/>
        <v>2405000</v>
      </c>
    </row>
    <row r="34" spans="1:12">
      <c r="A34" s="11" t="s">
        <v>81</v>
      </c>
      <c r="B34" s="8">
        <v>10</v>
      </c>
      <c r="C34" s="8">
        <v>0</v>
      </c>
      <c r="D34" s="8">
        <v>10</v>
      </c>
      <c r="E34" s="8">
        <f t="shared" si="0"/>
        <v>50</v>
      </c>
      <c r="F34" s="8">
        <f t="shared" si="1"/>
        <v>0</v>
      </c>
      <c r="G34" s="8">
        <f t="shared" si="2"/>
        <v>300000</v>
      </c>
      <c r="H34" s="8">
        <f t="shared" si="3"/>
        <v>54000</v>
      </c>
      <c r="I34" s="8">
        <f t="shared" si="4"/>
        <v>21000</v>
      </c>
      <c r="J34" s="8">
        <f t="shared" si="5"/>
        <v>30000</v>
      </c>
      <c r="K34" s="9">
        <f t="shared" si="6"/>
        <v>405000</v>
      </c>
      <c r="L34" s="10">
        <f t="shared" si="7"/>
        <v>810000</v>
      </c>
    </row>
    <row r="35" spans="1:12">
      <c r="A35" s="11" t="s">
        <v>82</v>
      </c>
      <c r="B35" s="8">
        <v>8</v>
      </c>
      <c r="C35" s="8">
        <v>0</v>
      </c>
      <c r="D35" s="8">
        <v>10</v>
      </c>
      <c r="E35" s="8">
        <f t="shared" si="0"/>
        <v>40</v>
      </c>
      <c r="F35" s="8">
        <f t="shared" si="1"/>
        <v>0</v>
      </c>
      <c r="G35" s="8">
        <f t="shared" si="2"/>
        <v>240000</v>
      </c>
      <c r="H35" s="8">
        <f t="shared" si="3"/>
        <v>45000</v>
      </c>
      <c r="I35" s="8">
        <f t="shared" si="4"/>
        <v>17500</v>
      </c>
      <c r="J35" s="8">
        <f t="shared" si="5"/>
        <v>30000</v>
      </c>
      <c r="K35" s="9">
        <f t="shared" si="6"/>
        <v>332500</v>
      </c>
      <c r="L35" s="10">
        <f t="shared" si="7"/>
        <v>665000</v>
      </c>
    </row>
    <row r="36" spans="1:12">
      <c r="A36" s="11" t="s">
        <v>4</v>
      </c>
      <c r="B36" s="8">
        <v>75</v>
      </c>
      <c r="C36" s="8">
        <v>0</v>
      </c>
      <c r="D36" s="8">
        <v>10</v>
      </c>
      <c r="E36" s="8">
        <f t="shared" si="0"/>
        <v>375</v>
      </c>
      <c r="F36" s="8">
        <f t="shared" si="1"/>
        <v>0</v>
      </c>
      <c r="G36" s="8">
        <f t="shared" si="2"/>
        <v>2250000</v>
      </c>
      <c r="H36" s="8">
        <f t="shared" si="3"/>
        <v>346500</v>
      </c>
      <c r="I36" s="8">
        <f t="shared" si="4"/>
        <v>134750</v>
      </c>
      <c r="J36" s="8">
        <f t="shared" si="5"/>
        <v>30000</v>
      </c>
      <c r="K36" s="9">
        <f t="shared" si="6"/>
        <v>2761250</v>
      </c>
      <c r="L36" s="10">
        <f t="shared" si="7"/>
        <v>5522500</v>
      </c>
    </row>
    <row r="37" spans="1:12">
      <c r="A37" s="11" t="s">
        <v>83</v>
      </c>
      <c r="B37" s="8">
        <v>13</v>
      </c>
      <c r="C37" s="8">
        <v>0</v>
      </c>
      <c r="D37" s="8">
        <v>10</v>
      </c>
      <c r="E37" s="8">
        <f t="shared" si="0"/>
        <v>65</v>
      </c>
      <c r="F37" s="8">
        <f t="shared" si="1"/>
        <v>0</v>
      </c>
      <c r="G37" s="8">
        <f t="shared" si="2"/>
        <v>390000</v>
      </c>
      <c r="H37" s="8">
        <f t="shared" si="3"/>
        <v>67500</v>
      </c>
      <c r="I37" s="8">
        <f t="shared" si="4"/>
        <v>26250</v>
      </c>
      <c r="J37" s="8">
        <f t="shared" si="5"/>
        <v>30000</v>
      </c>
      <c r="K37" s="9">
        <f t="shared" si="6"/>
        <v>513750</v>
      </c>
      <c r="L37" s="10">
        <f t="shared" si="7"/>
        <v>1027500</v>
      </c>
    </row>
    <row r="38" spans="1:12">
      <c r="A38" s="11" t="s">
        <v>84</v>
      </c>
      <c r="B38" s="8">
        <v>19</v>
      </c>
      <c r="C38" s="8">
        <v>0</v>
      </c>
      <c r="D38" s="8">
        <v>10</v>
      </c>
      <c r="E38" s="8">
        <f t="shared" si="0"/>
        <v>95</v>
      </c>
      <c r="F38" s="8">
        <f t="shared" si="1"/>
        <v>0</v>
      </c>
      <c r="G38" s="8">
        <f t="shared" si="2"/>
        <v>570000</v>
      </c>
      <c r="H38" s="8">
        <f t="shared" si="3"/>
        <v>94500</v>
      </c>
      <c r="I38" s="8">
        <f t="shared" si="4"/>
        <v>36750</v>
      </c>
      <c r="J38" s="8">
        <f t="shared" si="5"/>
        <v>30000</v>
      </c>
      <c r="K38" s="9">
        <f t="shared" si="6"/>
        <v>731250</v>
      </c>
      <c r="L38" s="10">
        <f t="shared" si="7"/>
        <v>1462500</v>
      </c>
    </row>
  </sheetData>
  <mergeCells count="1">
    <mergeCell ref="A1:A2"/>
  </mergeCells>
  <pageMargins left="0.25" right="0.25" top="0.75" bottom="0.75" header="0.3" footer="0.3"/>
  <pageSetup scale="7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9" workbookViewId="0">
      <selection activeCell="D18" sqref="D18"/>
    </sheetView>
  </sheetViews>
  <sheetFormatPr defaultRowHeight="15"/>
  <cols>
    <col min="1" max="1" width="20.7109375" style="7" bestFit="1" customWidth="1"/>
    <col min="5" max="5" width="10.7109375" customWidth="1"/>
    <col min="6" max="9" width="13.85546875" customWidth="1"/>
    <col min="10" max="10" width="15.140625" customWidth="1"/>
    <col min="11" max="13" width="13.85546875" customWidth="1"/>
  </cols>
  <sheetData>
    <row r="1" spans="1:13" ht="60">
      <c r="A1" s="550" t="s">
        <v>1</v>
      </c>
      <c r="B1" s="1" t="s">
        <v>39</v>
      </c>
      <c r="C1" s="1" t="s">
        <v>40</v>
      </c>
      <c r="D1" s="6" t="s">
        <v>6</v>
      </c>
      <c r="E1" s="6" t="s">
        <v>25</v>
      </c>
      <c r="F1" s="6" t="s">
        <v>26</v>
      </c>
      <c r="G1" s="6" t="s">
        <v>48</v>
      </c>
      <c r="H1" s="6" t="s">
        <v>49</v>
      </c>
      <c r="I1" s="6" t="s">
        <v>11</v>
      </c>
      <c r="J1" s="6" t="s">
        <v>28</v>
      </c>
      <c r="K1" s="6" t="s">
        <v>29</v>
      </c>
      <c r="L1" s="6" t="s">
        <v>3</v>
      </c>
      <c r="M1" s="6" t="s">
        <v>30</v>
      </c>
    </row>
    <row r="2" spans="1:13" ht="30">
      <c r="A2" s="551"/>
      <c r="B2" s="1" t="s">
        <v>14</v>
      </c>
      <c r="C2" s="1" t="s">
        <v>15</v>
      </c>
      <c r="D2" s="6" t="s">
        <v>16</v>
      </c>
      <c r="E2" s="6" t="s">
        <v>17</v>
      </c>
      <c r="F2" s="6" t="s">
        <v>31</v>
      </c>
      <c r="G2" s="6" t="s">
        <v>32</v>
      </c>
      <c r="H2" s="6" t="s">
        <v>33</v>
      </c>
      <c r="I2" s="6" t="s">
        <v>34</v>
      </c>
      <c r="J2" s="6" t="s">
        <v>35</v>
      </c>
      <c r="K2" s="6" t="s">
        <v>36</v>
      </c>
      <c r="L2" s="6" t="s">
        <v>37</v>
      </c>
      <c r="M2" s="6" t="s">
        <v>38</v>
      </c>
    </row>
    <row r="3" spans="1:13">
      <c r="A3" s="11" t="s">
        <v>51</v>
      </c>
      <c r="B3" s="8">
        <v>3</v>
      </c>
      <c r="C3" s="8">
        <v>9</v>
      </c>
      <c r="D3" s="3">
        <v>1</v>
      </c>
      <c r="E3" s="3">
        <f t="shared" ref="E3:E38" si="0">5*B3</f>
        <v>15</v>
      </c>
      <c r="F3" s="3">
        <f t="shared" ref="F3:F38" si="1">2*C3</f>
        <v>18</v>
      </c>
      <c r="G3" s="3">
        <f t="shared" ref="G3:G38" si="2">3*3000*D3</f>
        <v>9000</v>
      </c>
      <c r="H3" s="3">
        <f t="shared" ref="H3:H38" si="3">3*1000*F3</f>
        <v>54000</v>
      </c>
      <c r="I3" s="3">
        <f t="shared" ref="I3:I38" si="4">SUM(E3:F3)*300*3</f>
        <v>29700</v>
      </c>
      <c r="J3" s="3">
        <f t="shared" ref="J3:J38" si="5">SUM(D3:F3)*250</f>
        <v>8500</v>
      </c>
      <c r="K3" s="3">
        <f t="shared" ref="K3:K38" si="6">3*5000</f>
        <v>15000</v>
      </c>
      <c r="L3" s="4">
        <f t="shared" ref="L3:L38" si="7">SUM(G3:K3)</f>
        <v>116200</v>
      </c>
      <c r="M3" s="5">
        <f t="shared" ref="M3:M38" si="8">4*L3</f>
        <v>464800</v>
      </c>
    </row>
    <row r="4" spans="1:13">
      <c r="A4" s="11" t="s">
        <v>52</v>
      </c>
      <c r="B4" s="8">
        <v>13</v>
      </c>
      <c r="C4" s="8">
        <v>243</v>
      </c>
      <c r="D4" s="3">
        <v>2</v>
      </c>
      <c r="E4" s="3">
        <f t="shared" si="0"/>
        <v>65</v>
      </c>
      <c r="F4" s="3">
        <f t="shared" si="1"/>
        <v>486</v>
      </c>
      <c r="G4" s="3">
        <f t="shared" si="2"/>
        <v>18000</v>
      </c>
      <c r="H4" s="3">
        <f t="shared" si="3"/>
        <v>1458000</v>
      </c>
      <c r="I4" s="3">
        <f t="shared" si="4"/>
        <v>495900</v>
      </c>
      <c r="J4" s="3">
        <f t="shared" si="5"/>
        <v>138250</v>
      </c>
      <c r="K4" s="3">
        <f t="shared" si="6"/>
        <v>15000</v>
      </c>
      <c r="L4" s="4">
        <f t="shared" si="7"/>
        <v>2125150</v>
      </c>
      <c r="M4" s="5">
        <f t="shared" si="8"/>
        <v>8500600</v>
      </c>
    </row>
    <row r="5" spans="1:13">
      <c r="A5" s="11" t="s">
        <v>53</v>
      </c>
      <c r="B5" s="8">
        <v>16</v>
      </c>
      <c r="C5" s="8">
        <v>202</v>
      </c>
      <c r="D5" s="3">
        <v>3</v>
      </c>
      <c r="E5" s="3">
        <f t="shared" si="0"/>
        <v>80</v>
      </c>
      <c r="F5" s="3">
        <f t="shared" si="1"/>
        <v>404</v>
      </c>
      <c r="G5" s="3">
        <f t="shared" si="2"/>
        <v>27000</v>
      </c>
      <c r="H5" s="3">
        <f t="shared" si="3"/>
        <v>1212000</v>
      </c>
      <c r="I5" s="3">
        <f t="shared" si="4"/>
        <v>435600</v>
      </c>
      <c r="J5" s="3">
        <f t="shared" si="5"/>
        <v>121750</v>
      </c>
      <c r="K5" s="3">
        <f t="shared" si="6"/>
        <v>15000</v>
      </c>
      <c r="L5" s="4">
        <f t="shared" si="7"/>
        <v>1811350</v>
      </c>
      <c r="M5" s="5">
        <f t="shared" si="8"/>
        <v>7245400</v>
      </c>
    </row>
    <row r="6" spans="1:13">
      <c r="A6" s="11" t="s">
        <v>54</v>
      </c>
      <c r="B6" s="8">
        <v>27</v>
      </c>
      <c r="C6" s="8">
        <v>173</v>
      </c>
      <c r="D6" s="3">
        <v>4</v>
      </c>
      <c r="E6" s="3">
        <f t="shared" si="0"/>
        <v>135</v>
      </c>
      <c r="F6" s="3">
        <f t="shared" si="1"/>
        <v>346</v>
      </c>
      <c r="G6" s="3">
        <f t="shared" si="2"/>
        <v>36000</v>
      </c>
      <c r="H6" s="3">
        <f t="shared" si="3"/>
        <v>1038000</v>
      </c>
      <c r="I6" s="3">
        <f t="shared" si="4"/>
        <v>432900</v>
      </c>
      <c r="J6" s="3">
        <f t="shared" si="5"/>
        <v>121250</v>
      </c>
      <c r="K6" s="3">
        <f t="shared" si="6"/>
        <v>15000</v>
      </c>
      <c r="L6" s="4">
        <f t="shared" si="7"/>
        <v>1643150</v>
      </c>
      <c r="M6" s="5">
        <f t="shared" si="8"/>
        <v>6572600</v>
      </c>
    </row>
    <row r="7" spans="1:13">
      <c r="A7" s="11" t="s">
        <v>55</v>
      </c>
      <c r="B7" s="8">
        <v>38</v>
      </c>
      <c r="C7" s="8">
        <v>534</v>
      </c>
      <c r="D7" s="3">
        <v>5</v>
      </c>
      <c r="E7" s="3">
        <f t="shared" si="0"/>
        <v>190</v>
      </c>
      <c r="F7" s="3">
        <f t="shared" si="1"/>
        <v>1068</v>
      </c>
      <c r="G7" s="3">
        <f t="shared" si="2"/>
        <v>45000</v>
      </c>
      <c r="H7" s="3">
        <f t="shared" si="3"/>
        <v>3204000</v>
      </c>
      <c r="I7" s="3">
        <f t="shared" si="4"/>
        <v>1132200</v>
      </c>
      <c r="J7" s="3">
        <f t="shared" si="5"/>
        <v>315750</v>
      </c>
      <c r="K7" s="3">
        <f t="shared" si="6"/>
        <v>15000</v>
      </c>
      <c r="L7" s="4">
        <f t="shared" si="7"/>
        <v>4711950</v>
      </c>
      <c r="M7" s="5">
        <f t="shared" si="8"/>
        <v>18847800</v>
      </c>
    </row>
    <row r="8" spans="1:13">
      <c r="A8" s="11" t="s">
        <v>56</v>
      </c>
      <c r="B8" s="8">
        <v>1</v>
      </c>
      <c r="C8" s="8">
        <v>1</v>
      </c>
      <c r="D8" s="3">
        <v>6</v>
      </c>
      <c r="E8" s="3">
        <f t="shared" si="0"/>
        <v>5</v>
      </c>
      <c r="F8" s="3">
        <f t="shared" si="1"/>
        <v>2</v>
      </c>
      <c r="G8" s="3">
        <f t="shared" si="2"/>
        <v>54000</v>
      </c>
      <c r="H8" s="3">
        <f t="shared" si="3"/>
        <v>6000</v>
      </c>
      <c r="I8" s="3">
        <f t="shared" si="4"/>
        <v>6300</v>
      </c>
      <c r="J8" s="3">
        <f t="shared" si="5"/>
        <v>3250</v>
      </c>
      <c r="K8" s="3">
        <f t="shared" si="6"/>
        <v>15000</v>
      </c>
      <c r="L8" s="4">
        <f t="shared" si="7"/>
        <v>84550</v>
      </c>
      <c r="M8" s="5">
        <f t="shared" si="8"/>
        <v>338200</v>
      </c>
    </row>
    <row r="9" spans="1:13">
      <c r="A9" s="11" t="s">
        <v>57</v>
      </c>
      <c r="B9" s="8">
        <v>27</v>
      </c>
      <c r="C9" s="8">
        <v>147</v>
      </c>
      <c r="D9" s="3">
        <v>7</v>
      </c>
      <c r="E9" s="3">
        <f t="shared" si="0"/>
        <v>135</v>
      </c>
      <c r="F9" s="3">
        <f t="shared" si="1"/>
        <v>294</v>
      </c>
      <c r="G9" s="3">
        <f t="shared" si="2"/>
        <v>63000</v>
      </c>
      <c r="H9" s="3">
        <f t="shared" si="3"/>
        <v>882000</v>
      </c>
      <c r="I9" s="3">
        <f t="shared" si="4"/>
        <v>386100</v>
      </c>
      <c r="J9" s="3">
        <f t="shared" si="5"/>
        <v>109000</v>
      </c>
      <c r="K9" s="3">
        <f t="shared" si="6"/>
        <v>15000</v>
      </c>
      <c r="L9" s="4">
        <f t="shared" si="7"/>
        <v>1455100</v>
      </c>
      <c r="M9" s="5">
        <f t="shared" si="8"/>
        <v>5820400</v>
      </c>
    </row>
    <row r="10" spans="1:13">
      <c r="A10" s="11" t="s">
        <v>58</v>
      </c>
      <c r="B10" s="8">
        <v>1</v>
      </c>
      <c r="C10" s="8">
        <v>1</v>
      </c>
      <c r="D10" s="3">
        <v>8</v>
      </c>
      <c r="E10" s="3">
        <f t="shared" si="0"/>
        <v>5</v>
      </c>
      <c r="F10" s="3">
        <f t="shared" si="1"/>
        <v>2</v>
      </c>
      <c r="G10" s="3">
        <f t="shared" si="2"/>
        <v>72000</v>
      </c>
      <c r="H10" s="3">
        <f t="shared" si="3"/>
        <v>6000</v>
      </c>
      <c r="I10" s="3">
        <f t="shared" si="4"/>
        <v>6300</v>
      </c>
      <c r="J10" s="3">
        <f t="shared" si="5"/>
        <v>3750</v>
      </c>
      <c r="K10" s="3">
        <f t="shared" si="6"/>
        <v>15000</v>
      </c>
      <c r="L10" s="4">
        <f t="shared" si="7"/>
        <v>103050</v>
      </c>
      <c r="M10" s="5">
        <f t="shared" si="8"/>
        <v>412200</v>
      </c>
    </row>
    <row r="11" spans="1:13">
      <c r="A11" s="11" t="s">
        <v>59</v>
      </c>
      <c r="B11" s="8">
        <v>2</v>
      </c>
      <c r="C11" s="8">
        <v>2</v>
      </c>
      <c r="D11" s="3">
        <v>9</v>
      </c>
      <c r="E11" s="3">
        <f t="shared" si="0"/>
        <v>10</v>
      </c>
      <c r="F11" s="3">
        <f t="shared" si="1"/>
        <v>4</v>
      </c>
      <c r="G11" s="3">
        <f t="shared" si="2"/>
        <v>81000</v>
      </c>
      <c r="H11" s="3">
        <f t="shared" si="3"/>
        <v>12000</v>
      </c>
      <c r="I11" s="3">
        <f t="shared" si="4"/>
        <v>12600</v>
      </c>
      <c r="J11" s="3">
        <f t="shared" si="5"/>
        <v>5750</v>
      </c>
      <c r="K11" s="3">
        <f t="shared" si="6"/>
        <v>15000</v>
      </c>
      <c r="L11" s="4">
        <f t="shared" si="7"/>
        <v>126350</v>
      </c>
      <c r="M11" s="5">
        <f t="shared" si="8"/>
        <v>505400</v>
      </c>
    </row>
    <row r="12" spans="1:13">
      <c r="A12" s="11" t="s">
        <v>60</v>
      </c>
      <c r="B12" s="8">
        <v>11</v>
      </c>
      <c r="C12" s="8">
        <v>11</v>
      </c>
      <c r="D12" s="3">
        <v>10</v>
      </c>
      <c r="E12" s="3">
        <f t="shared" si="0"/>
        <v>55</v>
      </c>
      <c r="F12" s="3">
        <f t="shared" si="1"/>
        <v>22</v>
      </c>
      <c r="G12" s="3">
        <f t="shared" si="2"/>
        <v>90000</v>
      </c>
      <c r="H12" s="3">
        <f t="shared" si="3"/>
        <v>66000</v>
      </c>
      <c r="I12" s="3">
        <f t="shared" si="4"/>
        <v>69300</v>
      </c>
      <c r="J12" s="3">
        <f t="shared" si="5"/>
        <v>21750</v>
      </c>
      <c r="K12" s="3">
        <f t="shared" si="6"/>
        <v>15000</v>
      </c>
      <c r="L12" s="4">
        <f t="shared" si="7"/>
        <v>262050</v>
      </c>
      <c r="M12" s="5">
        <f t="shared" si="8"/>
        <v>1048200</v>
      </c>
    </row>
    <row r="13" spans="1:13">
      <c r="A13" s="11" t="s">
        <v>5</v>
      </c>
      <c r="B13" s="8">
        <v>2</v>
      </c>
      <c r="C13" s="8">
        <v>12</v>
      </c>
      <c r="D13" s="3">
        <v>11</v>
      </c>
      <c r="E13" s="3">
        <f t="shared" si="0"/>
        <v>10</v>
      </c>
      <c r="F13" s="3">
        <f t="shared" si="1"/>
        <v>24</v>
      </c>
      <c r="G13" s="3">
        <f t="shared" si="2"/>
        <v>99000</v>
      </c>
      <c r="H13" s="3">
        <f t="shared" si="3"/>
        <v>72000</v>
      </c>
      <c r="I13" s="3">
        <f t="shared" si="4"/>
        <v>30600</v>
      </c>
      <c r="J13" s="3">
        <f t="shared" si="5"/>
        <v>11250</v>
      </c>
      <c r="K13" s="3">
        <f t="shared" si="6"/>
        <v>15000</v>
      </c>
      <c r="L13" s="4">
        <f t="shared" si="7"/>
        <v>227850</v>
      </c>
      <c r="M13" s="5">
        <f t="shared" si="8"/>
        <v>911400</v>
      </c>
    </row>
    <row r="14" spans="1:13">
      <c r="A14" s="11" t="s">
        <v>61</v>
      </c>
      <c r="B14" s="8">
        <v>33</v>
      </c>
      <c r="C14" s="8">
        <v>174</v>
      </c>
      <c r="D14" s="3">
        <v>12</v>
      </c>
      <c r="E14" s="3">
        <f t="shared" si="0"/>
        <v>165</v>
      </c>
      <c r="F14" s="3">
        <f t="shared" si="1"/>
        <v>348</v>
      </c>
      <c r="G14" s="3">
        <f t="shared" si="2"/>
        <v>108000</v>
      </c>
      <c r="H14" s="3">
        <f t="shared" si="3"/>
        <v>1044000</v>
      </c>
      <c r="I14" s="3">
        <f t="shared" si="4"/>
        <v>461700</v>
      </c>
      <c r="J14" s="3">
        <f t="shared" si="5"/>
        <v>131250</v>
      </c>
      <c r="K14" s="3">
        <f t="shared" si="6"/>
        <v>15000</v>
      </c>
      <c r="L14" s="4">
        <f t="shared" si="7"/>
        <v>1759950</v>
      </c>
      <c r="M14" s="5">
        <f t="shared" si="8"/>
        <v>7039800</v>
      </c>
    </row>
    <row r="15" spans="1:13">
      <c r="A15" s="11" t="s">
        <v>62</v>
      </c>
      <c r="B15" s="8">
        <v>21</v>
      </c>
      <c r="C15" s="8">
        <v>143</v>
      </c>
      <c r="D15" s="3">
        <v>13</v>
      </c>
      <c r="E15" s="3">
        <f t="shared" si="0"/>
        <v>105</v>
      </c>
      <c r="F15" s="3">
        <f t="shared" si="1"/>
        <v>286</v>
      </c>
      <c r="G15" s="3">
        <f t="shared" si="2"/>
        <v>117000</v>
      </c>
      <c r="H15" s="3">
        <f t="shared" si="3"/>
        <v>858000</v>
      </c>
      <c r="I15" s="3">
        <f t="shared" si="4"/>
        <v>351900</v>
      </c>
      <c r="J15" s="3">
        <f t="shared" si="5"/>
        <v>101000</v>
      </c>
      <c r="K15" s="3">
        <f t="shared" si="6"/>
        <v>15000</v>
      </c>
      <c r="L15" s="4">
        <f t="shared" si="7"/>
        <v>1442900</v>
      </c>
      <c r="M15" s="5">
        <f t="shared" si="8"/>
        <v>5771600</v>
      </c>
    </row>
    <row r="16" spans="1:13">
      <c r="A16" s="11" t="s">
        <v>63</v>
      </c>
      <c r="B16" s="8">
        <v>12</v>
      </c>
      <c r="C16" s="8">
        <v>70</v>
      </c>
      <c r="D16" s="3">
        <v>14</v>
      </c>
      <c r="E16" s="3">
        <f t="shared" si="0"/>
        <v>60</v>
      </c>
      <c r="F16" s="3">
        <f t="shared" si="1"/>
        <v>140</v>
      </c>
      <c r="G16" s="3">
        <f t="shared" si="2"/>
        <v>126000</v>
      </c>
      <c r="H16" s="3">
        <f t="shared" si="3"/>
        <v>420000</v>
      </c>
      <c r="I16" s="3">
        <f t="shared" si="4"/>
        <v>180000</v>
      </c>
      <c r="J16" s="3">
        <f t="shared" si="5"/>
        <v>53500</v>
      </c>
      <c r="K16" s="3">
        <f t="shared" si="6"/>
        <v>15000</v>
      </c>
      <c r="L16" s="4">
        <f t="shared" si="7"/>
        <v>794500</v>
      </c>
      <c r="M16" s="5">
        <f t="shared" si="8"/>
        <v>3178000</v>
      </c>
    </row>
    <row r="17" spans="1:13">
      <c r="A17" s="11" t="s">
        <v>64</v>
      </c>
      <c r="B17" s="8">
        <v>22</v>
      </c>
      <c r="C17" s="8">
        <v>120</v>
      </c>
      <c r="D17" s="3">
        <v>15</v>
      </c>
      <c r="E17" s="3">
        <f t="shared" si="0"/>
        <v>110</v>
      </c>
      <c r="F17" s="3">
        <f t="shared" si="1"/>
        <v>240</v>
      </c>
      <c r="G17" s="3">
        <f t="shared" si="2"/>
        <v>135000</v>
      </c>
      <c r="H17" s="3">
        <f t="shared" si="3"/>
        <v>720000</v>
      </c>
      <c r="I17" s="3">
        <f t="shared" si="4"/>
        <v>315000</v>
      </c>
      <c r="J17" s="3">
        <f t="shared" si="5"/>
        <v>91250</v>
      </c>
      <c r="K17" s="3">
        <f t="shared" si="6"/>
        <v>15000</v>
      </c>
      <c r="L17" s="4">
        <f t="shared" si="7"/>
        <v>1276250</v>
      </c>
      <c r="M17" s="5">
        <f t="shared" si="8"/>
        <v>5105000</v>
      </c>
    </row>
    <row r="18" spans="1:13">
      <c r="A18" s="11" t="s">
        <v>65</v>
      </c>
      <c r="B18" s="8">
        <v>24</v>
      </c>
      <c r="C18" s="8">
        <v>197</v>
      </c>
      <c r="D18" s="3">
        <v>16</v>
      </c>
      <c r="E18" s="3">
        <f t="shared" si="0"/>
        <v>120</v>
      </c>
      <c r="F18" s="3">
        <f t="shared" si="1"/>
        <v>394</v>
      </c>
      <c r="G18" s="3">
        <f t="shared" si="2"/>
        <v>144000</v>
      </c>
      <c r="H18" s="3">
        <f t="shared" si="3"/>
        <v>1182000</v>
      </c>
      <c r="I18" s="3">
        <f t="shared" si="4"/>
        <v>462600</v>
      </c>
      <c r="J18" s="3">
        <f t="shared" si="5"/>
        <v>132500</v>
      </c>
      <c r="K18" s="3">
        <f t="shared" si="6"/>
        <v>15000</v>
      </c>
      <c r="L18" s="4">
        <f t="shared" si="7"/>
        <v>1936100</v>
      </c>
      <c r="M18" s="5">
        <f t="shared" si="8"/>
        <v>7744400</v>
      </c>
    </row>
    <row r="19" spans="1:13">
      <c r="A19" s="11" t="s">
        <v>66</v>
      </c>
      <c r="B19" s="8">
        <v>30</v>
      </c>
      <c r="C19" s="8">
        <v>177</v>
      </c>
      <c r="D19" s="3">
        <v>17</v>
      </c>
      <c r="E19" s="3">
        <f t="shared" si="0"/>
        <v>150</v>
      </c>
      <c r="F19" s="3">
        <f t="shared" si="1"/>
        <v>354</v>
      </c>
      <c r="G19" s="3">
        <f t="shared" si="2"/>
        <v>153000</v>
      </c>
      <c r="H19" s="3">
        <f t="shared" si="3"/>
        <v>1062000</v>
      </c>
      <c r="I19" s="3">
        <f t="shared" si="4"/>
        <v>453600</v>
      </c>
      <c r="J19" s="3">
        <f t="shared" si="5"/>
        <v>130250</v>
      </c>
      <c r="K19" s="3">
        <f t="shared" si="6"/>
        <v>15000</v>
      </c>
      <c r="L19" s="4">
        <f t="shared" si="7"/>
        <v>1813850</v>
      </c>
      <c r="M19" s="5">
        <f t="shared" si="8"/>
        <v>7255400</v>
      </c>
    </row>
    <row r="20" spans="1:13">
      <c r="A20" s="11" t="s">
        <v>67</v>
      </c>
      <c r="B20" s="8">
        <v>14</v>
      </c>
      <c r="C20" s="8">
        <v>269</v>
      </c>
      <c r="D20" s="3">
        <v>18</v>
      </c>
      <c r="E20" s="3">
        <f t="shared" si="0"/>
        <v>70</v>
      </c>
      <c r="F20" s="3">
        <f t="shared" si="1"/>
        <v>538</v>
      </c>
      <c r="G20" s="3">
        <f t="shared" si="2"/>
        <v>162000</v>
      </c>
      <c r="H20" s="3">
        <f t="shared" si="3"/>
        <v>1614000</v>
      </c>
      <c r="I20" s="3">
        <f t="shared" si="4"/>
        <v>547200</v>
      </c>
      <c r="J20" s="3">
        <f t="shared" si="5"/>
        <v>156500</v>
      </c>
      <c r="K20" s="3">
        <f t="shared" si="6"/>
        <v>15000</v>
      </c>
      <c r="L20" s="4">
        <f t="shared" si="7"/>
        <v>2494700</v>
      </c>
      <c r="M20" s="5">
        <f t="shared" si="8"/>
        <v>9978800</v>
      </c>
    </row>
    <row r="21" spans="1:13">
      <c r="A21" s="11" t="s">
        <v>68</v>
      </c>
      <c r="B21" s="8">
        <v>1</v>
      </c>
      <c r="C21" s="8">
        <v>10</v>
      </c>
      <c r="D21" s="3">
        <v>19</v>
      </c>
      <c r="E21" s="3">
        <f t="shared" si="0"/>
        <v>5</v>
      </c>
      <c r="F21" s="3">
        <f t="shared" si="1"/>
        <v>20</v>
      </c>
      <c r="G21" s="3">
        <f t="shared" si="2"/>
        <v>171000</v>
      </c>
      <c r="H21" s="3">
        <f t="shared" si="3"/>
        <v>60000</v>
      </c>
      <c r="I21" s="3">
        <f t="shared" si="4"/>
        <v>22500</v>
      </c>
      <c r="J21" s="3">
        <f t="shared" si="5"/>
        <v>11000</v>
      </c>
      <c r="K21" s="3">
        <f t="shared" si="6"/>
        <v>15000</v>
      </c>
      <c r="L21" s="4">
        <f t="shared" si="7"/>
        <v>279500</v>
      </c>
      <c r="M21" s="5">
        <f t="shared" si="8"/>
        <v>1118000</v>
      </c>
    </row>
    <row r="22" spans="1:13">
      <c r="A22" s="11" t="s">
        <v>69</v>
      </c>
      <c r="B22" s="8">
        <v>51</v>
      </c>
      <c r="C22" s="8">
        <v>314</v>
      </c>
      <c r="D22" s="3">
        <v>20</v>
      </c>
      <c r="E22" s="3">
        <f t="shared" si="0"/>
        <v>255</v>
      </c>
      <c r="F22" s="3">
        <f t="shared" si="1"/>
        <v>628</v>
      </c>
      <c r="G22" s="3">
        <f t="shared" si="2"/>
        <v>180000</v>
      </c>
      <c r="H22" s="3">
        <f t="shared" si="3"/>
        <v>1884000</v>
      </c>
      <c r="I22" s="3">
        <f t="shared" si="4"/>
        <v>794700</v>
      </c>
      <c r="J22" s="3">
        <f t="shared" si="5"/>
        <v>225750</v>
      </c>
      <c r="K22" s="3">
        <f t="shared" si="6"/>
        <v>15000</v>
      </c>
      <c r="L22" s="4">
        <f t="shared" si="7"/>
        <v>3099450</v>
      </c>
      <c r="M22" s="5">
        <f t="shared" si="8"/>
        <v>12397800</v>
      </c>
    </row>
    <row r="23" spans="1:13">
      <c r="A23" s="11" t="s">
        <v>70</v>
      </c>
      <c r="B23" s="8">
        <v>35</v>
      </c>
      <c r="C23" s="8">
        <v>379</v>
      </c>
      <c r="D23" s="3">
        <v>21</v>
      </c>
      <c r="E23" s="3">
        <f t="shared" si="0"/>
        <v>175</v>
      </c>
      <c r="F23" s="3">
        <f t="shared" si="1"/>
        <v>758</v>
      </c>
      <c r="G23" s="3">
        <f t="shared" si="2"/>
        <v>189000</v>
      </c>
      <c r="H23" s="3">
        <f t="shared" si="3"/>
        <v>2274000</v>
      </c>
      <c r="I23" s="3">
        <f t="shared" si="4"/>
        <v>839700</v>
      </c>
      <c r="J23" s="3">
        <f t="shared" si="5"/>
        <v>238500</v>
      </c>
      <c r="K23" s="3">
        <f t="shared" si="6"/>
        <v>15000</v>
      </c>
      <c r="L23" s="4">
        <f t="shared" si="7"/>
        <v>3556200</v>
      </c>
      <c r="M23" s="5">
        <f t="shared" si="8"/>
        <v>14224800</v>
      </c>
    </row>
    <row r="24" spans="1:13">
      <c r="A24" s="11" t="s">
        <v>71</v>
      </c>
      <c r="B24" s="8">
        <v>9</v>
      </c>
      <c r="C24" s="8">
        <v>39</v>
      </c>
      <c r="D24" s="3">
        <v>22</v>
      </c>
      <c r="E24" s="3">
        <f t="shared" si="0"/>
        <v>45</v>
      </c>
      <c r="F24" s="3">
        <f t="shared" si="1"/>
        <v>78</v>
      </c>
      <c r="G24" s="3">
        <f t="shared" si="2"/>
        <v>198000</v>
      </c>
      <c r="H24" s="3">
        <f t="shared" si="3"/>
        <v>234000</v>
      </c>
      <c r="I24" s="3">
        <f t="shared" si="4"/>
        <v>110700</v>
      </c>
      <c r="J24" s="3">
        <f t="shared" si="5"/>
        <v>36250</v>
      </c>
      <c r="K24" s="3">
        <f t="shared" si="6"/>
        <v>15000</v>
      </c>
      <c r="L24" s="4">
        <f t="shared" si="7"/>
        <v>593950</v>
      </c>
      <c r="M24" s="5">
        <f t="shared" si="8"/>
        <v>2375800</v>
      </c>
    </row>
    <row r="25" spans="1:13">
      <c r="A25" s="11" t="s">
        <v>72</v>
      </c>
      <c r="B25" s="8">
        <v>11</v>
      </c>
      <c r="C25" s="8">
        <v>39</v>
      </c>
      <c r="D25" s="3">
        <v>23</v>
      </c>
      <c r="E25" s="3">
        <f t="shared" si="0"/>
        <v>55</v>
      </c>
      <c r="F25" s="3">
        <f t="shared" si="1"/>
        <v>78</v>
      </c>
      <c r="G25" s="3">
        <f t="shared" si="2"/>
        <v>207000</v>
      </c>
      <c r="H25" s="3">
        <f t="shared" si="3"/>
        <v>234000</v>
      </c>
      <c r="I25" s="3">
        <f t="shared" si="4"/>
        <v>119700</v>
      </c>
      <c r="J25" s="3">
        <f t="shared" si="5"/>
        <v>39000</v>
      </c>
      <c r="K25" s="3">
        <f t="shared" si="6"/>
        <v>15000</v>
      </c>
      <c r="L25" s="4">
        <f t="shared" si="7"/>
        <v>614700</v>
      </c>
      <c r="M25" s="5">
        <f t="shared" si="8"/>
        <v>2458800</v>
      </c>
    </row>
    <row r="26" spans="1:13">
      <c r="A26" s="11" t="s">
        <v>73</v>
      </c>
      <c r="B26" s="8">
        <v>9</v>
      </c>
      <c r="C26" s="8">
        <v>8</v>
      </c>
      <c r="D26" s="3">
        <v>24</v>
      </c>
      <c r="E26" s="3">
        <f t="shared" si="0"/>
        <v>45</v>
      </c>
      <c r="F26" s="3">
        <f t="shared" si="1"/>
        <v>16</v>
      </c>
      <c r="G26" s="3">
        <f t="shared" si="2"/>
        <v>216000</v>
      </c>
      <c r="H26" s="3">
        <f t="shared" si="3"/>
        <v>48000</v>
      </c>
      <c r="I26" s="3">
        <f t="shared" si="4"/>
        <v>54900</v>
      </c>
      <c r="J26" s="3">
        <f t="shared" si="5"/>
        <v>21250</v>
      </c>
      <c r="K26" s="3">
        <f t="shared" si="6"/>
        <v>15000</v>
      </c>
      <c r="L26" s="4">
        <f t="shared" si="7"/>
        <v>355150</v>
      </c>
      <c r="M26" s="5">
        <f t="shared" si="8"/>
        <v>1420600</v>
      </c>
    </row>
    <row r="27" spans="1:13">
      <c r="A27" s="11" t="s">
        <v>74</v>
      </c>
      <c r="B27" s="8">
        <v>11</v>
      </c>
      <c r="C27" s="8">
        <v>114</v>
      </c>
      <c r="D27" s="3">
        <v>25</v>
      </c>
      <c r="E27" s="3">
        <f t="shared" si="0"/>
        <v>55</v>
      </c>
      <c r="F27" s="3">
        <f t="shared" si="1"/>
        <v>228</v>
      </c>
      <c r="G27" s="3">
        <f t="shared" si="2"/>
        <v>225000</v>
      </c>
      <c r="H27" s="3">
        <f t="shared" si="3"/>
        <v>684000</v>
      </c>
      <c r="I27" s="3">
        <f t="shared" si="4"/>
        <v>254700</v>
      </c>
      <c r="J27" s="3">
        <f t="shared" si="5"/>
        <v>77000</v>
      </c>
      <c r="K27" s="3">
        <f t="shared" si="6"/>
        <v>15000</v>
      </c>
      <c r="L27" s="4">
        <f t="shared" si="7"/>
        <v>1255700</v>
      </c>
      <c r="M27" s="5">
        <f t="shared" si="8"/>
        <v>5022800</v>
      </c>
    </row>
    <row r="28" spans="1:13">
      <c r="A28" s="11" t="s">
        <v>75</v>
      </c>
      <c r="B28" s="8">
        <v>30</v>
      </c>
      <c r="C28" s="8">
        <v>314</v>
      </c>
      <c r="D28" s="3">
        <v>26</v>
      </c>
      <c r="E28" s="3">
        <f t="shared" si="0"/>
        <v>150</v>
      </c>
      <c r="F28" s="3">
        <f t="shared" si="1"/>
        <v>628</v>
      </c>
      <c r="G28" s="3">
        <f t="shared" si="2"/>
        <v>234000</v>
      </c>
      <c r="H28" s="3">
        <f t="shared" si="3"/>
        <v>1884000</v>
      </c>
      <c r="I28" s="3">
        <f t="shared" si="4"/>
        <v>700200</v>
      </c>
      <c r="J28" s="3">
        <f t="shared" si="5"/>
        <v>201000</v>
      </c>
      <c r="K28" s="3">
        <f t="shared" si="6"/>
        <v>15000</v>
      </c>
      <c r="L28" s="4">
        <f t="shared" si="7"/>
        <v>3034200</v>
      </c>
      <c r="M28" s="5">
        <f t="shared" si="8"/>
        <v>12136800</v>
      </c>
    </row>
    <row r="29" spans="1:13">
      <c r="A29" s="11" t="s">
        <v>76</v>
      </c>
      <c r="B29" s="8">
        <v>4</v>
      </c>
      <c r="C29" s="8">
        <v>15</v>
      </c>
      <c r="D29" s="3">
        <v>27</v>
      </c>
      <c r="E29" s="3">
        <f t="shared" si="0"/>
        <v>20</v>
      </c>
      <c r="F29" s="3">
        <f t="shared" si="1"/>
        <v>30</v>
      </c>
      <c r="G29" s="3">
        <f t="shared" si="2"/>
        <v>243000</v>
      </c>
      <c r="H29" s="3">
        <f t="shared" si="3"/>
        <v>90000</v>
      </c>
      <c r="I29" s="3">
        <f t="shared" si="4"/>
        <v>45000</v>
      </c>
      <c r="J29" s="3">
        <f t="shared" si="5"/>
        <v>19250</v>
      </c>
      <c r="K29" s="3">
        <f t="shared" si="6"/>
        <v>15000</v>
      </c>
      <c r="L29" s="4">
        <f t="shared" si="7"/>
        <v>412250</v>
      </c>
      <c r="M29" s="5">
        <f t="shared" si="8"/>
        <v>1649000</v>
      </c>
    </row>
    <row r="30" spans="1:13">
      <c r="A30" s="11" t="s">
        <v>77</v>
      </c>
      <c r="B30" s="8">
        <v>22</v>
      </c>
      <c r="C30" s="8">
        <v>179</v>
      </c>
      <c r="D30" s="3">
        <v>28</v>
      </c>
      <c r="E30" s="3">
        <f t="shared" si="0"/>
        <v>110</v>
      </c>
      <c r="F30" s="3">
        <f t="shared" si="1"/>
        <v>358</v>
      </c>
      <c r="G30" s="3">
        <f t="shared" si="2"/>
        <v>252000</v>
      </c>
      <c r="H30" s="3">
        <f t="shared" si="3"/>
        <v>1074000</v>
      </c>
      <c r="I30" s="3">
        <f t="shared" si="4"/>
        <v>421200</v>
      </c>
      <c r="J30" s="3">
        <f t="shared" si="5"/>
        <v>124000</v>
      </c>
      <c r="K30" s="3">
        <f t="shared" si="6"/>
        <v>15000</v>
      </c>
      <c r="L30" s="4">
        <f t="shared" si="7"/>
        <v>1886200</v>
      </c>
      <c r="M30" s="5">
        <f t="shared" si="8"/>
        <v>7544800</v>
      </c>
    </row>
    <row r="31" spans="1:13">
      <c r="A31" s="11" t="s">
        <v>78</v>
      </c>
      <c r="B31" s="8">
        <v>33</v>
      </c>
      <c r="C31" s="8">
        <v>249</v>
      </c>
      <c r="D31" s="3">
        <v>29</v>
      </c>
      <c r="E31" s="3">
        <f t="shared" si="0"/>
        <v>165</v>
      </c>
      <c r="F31" s="3">
        <f t="shared" si="1"/>
        <v>498</v>
      </c>
      <c r="G31" s="3">
        <f t="shared" si="2"/>
        <v>261000</v>
      </c>
      <c r="H31" s="3">
        <f t="shared" si="3"/>
        <v>1494000</v>
      </c>
      <c r="I31" s="3">
        <f t="shared" si="4"/>
        <v>596700</v>
      </c>
      <c r="J31" s="3">
        <f t="shared" si="5"/>
        <v>173000</v>
      </c>
      <c r="K31" s="3">
        <f t="shared" si="6"/>
        <v>15000</v>
      </c>
      <c r="L31" s="4">
        <f t="shared" si="7"/>
        <v>2539700</v>
      </c>
      <c r="M31" s="5">
        <f t="shared" si="8"/>
        <v>10158800</v>
      </c>
    </row>
    <row r="32" spans="1:13">
      <c r="A32" s="11" t="s">
        <v>79</v>
      </c>
      <c r="B32" s="8">
        <v>4</v>
      </c>
      <c r="C32" s="8">
        <v>32</v>
      </c>
      <c r="D32" s="3">
        <v>30</v>
      </c>
      <c r="E32" s="3">
        <f t="shared" si="0"/>
        <v>20</v>
      </c>
      <c r="F32" s="3">
        <f t="shared" si="1"/>
        <v>64</v>
      </c>
      <c r="G32" s="3">
        <f t="shared" si="2"/>
        <v>270000</v>
      </c>
      <c r="H32" s="3">
        <f t="shared" si="3"/>
        <v>192000</v>
      </c>
      <c r="I32" s="3">
        <f t="shared" si="4"/>
        <v>75600</v>
      </c>
      <c r="J32" s="3">
        <f t="shared" si="5"/>
        <v>28500</v>
      </c>
      <c r="K32" s="3">
        <f t="shared" si="6"/>
        <v>15000</v>
      </c>
      <c r="L32" s="4">
        <f t="shared" si="7"/>
        <v>581100</v>
      </c>
      <c r="M32" s="5">
        <f t="shared" si="8"/>
        <v>2324400</v>
      </c>
    </row>
    <row r="33" spans="1:13">
      <c r="A33" s="11" t="s">
        <v>80</v>
      </c>
      <c r="B33" s="8">
        <v>32</v>
      </c>
      <c r="C33" s="8">
        <v>547</v>
      </c>
      <c r="D33" s="3">
        <v>31</v>
      </c>
      <c r="E33" s="3">
        <f t="shared" si="0"/>
        <v>160</v>
      </c>
      <c r="F33" s="3">
        <f t="shared" si="1"/>
        <v>1094</v>
      </c>
      <c r="G33" s="3">
        <f t="shared" si="2"/>
        <v>279000</v>
      </c>
      <c r="H33" s="3">
        <f t="shared" si="3"/>
        <v>3282000</v>
      </c>
      <c r="I33" s="3">
        <f t="shared" si="4"/>
        <v>1128600</v>
      </c>
      <c r="J33" s="3">
        <f t="shared" si="5"/>
        <v>321250</v>
      </c>
      <c r="K33" s="3">
        <f t="shared" si="6"/>
        <v>15000</v>
      </c>
      <c r="L33" s="4">
        <f t="shared" si="7"/>
        <v>5025850</v>
      </c>
      <c r="M33" s="5">
        <f t="shared" si="8"/>
        <v>20103400</v>
      </c>
    </row>
    <row r="34" spans="1:13">
      <c r="A34" s="11" t="s">
        <v>81</v>
      </c>
      <c r="B34" s="8">
        <v>10</v>
      </c>
      <c r="C34" s="8">
        <v>162</v>
      </c>
      <c r="D34" s="3">
        <v>32</v>
      </c>
      <c r="E34" s="3">
        <f t="shared" si="0"/>
        <v>50</v>
      </c>
      <c r="F34" s="3">
        <f t="shared" si="1"/>
        <v>324</v>
      </c>
      <c r="G34" s="3">
        <f t="shared" si="2"/>
        <v>288000</v>
      </c>
      <c r="H34" s="3">
        <f t="shared" si="3"/>
        <v>972000</v>
      </c>
      <c r="I34" s="3">
        <f t="shared" si="4"/>
        <v>336600</v>
      </c>
      <c r="J34" s="3">
        <f t="shared" si="5"/>
        <v>101500</v>
      </c>
      <c r="K34" s="3">
        <f t="shared" si="6"/>
        <v>15000</v>
      </c>
      <c r="L34" s="4">
        <f t="shared" si="7"/>
        <v>1713100</v>
      </c>
      <c r="M34" s="5">
        <f t="shared" si="8"/>
        <v>6852400</v>
      </c>
    </row>
    <row r="35" spans="1:13">
      <c r="A35" s="11" t="s">
        <v>82</v>
      </c>
      <c r="B35" s="8">
        <v>8</v>
      </c>
      <c r="C35" s="8">
        <v>20</v>
      </c>
      <c r="D35" s="3">
        <v>33</v>
      </c>
      <c r="E35" s="3">
        <f t="shared" si="0"/>
        <v>40</v>
      </c>
      <c r="F35" s="3">
        <f t="shared" si="1"/>
        <v>40</v>
      </c>
      <c r="G35" s="3">
        <f t="shared" si="2"/>
        <v>297000</v>
      </c>
      <c r="H35" s="3">
        <f t="shared" si="3"/>
        <v>120000</v>
      </c>
      <c r="I35" s="3">
        <f t="shared" si="4"/>
        <v>72000</v>
      </c>
      <c r="J35" s="3">
        <f t="shared" si="5"/>
        <v>28250</v>
      </c>
      <c r="K35" s="3">
        <f t="shared" si="6"/>
        <v>15000</v>
      </c>
      <c r="L35" s="4">
        <f t="shared" si="7"/>
        <v>532250</v>
      </c>
      <c r="M35" s="5">
        <f t="shared" si="8"/>
        <v>2129000</v>
      </c>
    </row>
    <row r="36" spans="1:13">
      <c r="A36" s="11" t="s">
        <v>4</v>
      </c>
      <c r="B36" s="8">
        <v>75</v>
      </c>
      <c r="C36" s="8">
        <v>1019</v>
      </c>
      <c r="D36" s="3">
        <v>34</v>
      </c>
      <c r="E36" s="3">
        <f t="shared" si="0"/>
        <v>375</v>
      </c>
      <c r="F36" s="3">
        <f t="shared" si="1"/>
        <v>2038</v>
      </c>
      <c r="G36" s="3">
        <f t="shared" si="2"/>
        <v>306000</v>
      </c>
      <c r="H36" s="3">
        <f t="shared" si="3"/>
        <v>6114000</v>
      </c>
      <c r="I36" s="3">
        <f t="shared" si="4"/>
        <v>2171700</v>
      </c>
      <c r="J36" s="3">
        <f t="shared" si="5"/>
        <v>611750</v>
      </c>
      <c r="K36" s="3">
        <f t="shared" si="6"/>
        <v>15000</v>
      </c>
      <c r="L36" s="4">
        <f t="shared" si="7"/>
        <v>9218450</v>
      </c>
      <c r="M36" s="5">
        <f t="shared" si="8"/>
        <v>36873800</v>
      </c>
    </row>
    <row r="37" spans="1:13">
      <c r="A37" s="11" t="s">
        <v>83</v>
      </c>
      <c r="B37" s="8">
        <v>13</v>
      </c>
      <c r="C37" s="8">
        <v>95</v>
      </c>
      <c r="D37" s="3">
        <v>35</v>
      </c>
      <c r="E37" s="3">
        <f t="shared" si="0"/>
        <v>65</v>
      </c>
      <c r="F37" s="3">
        <f t="shared" si="1"/>
        <v>190</v>
      </c>
      <c r="G37" s="3">
        <f t="shared" si="2"/>
        <v>315000</v>
      </c>
      <c r="H37" s="3">
        <f t="shared" si="3"/>
        <v>570000</v>
      </c>
      <c r="I37" s="3">
        <f t="shared" si="4"/>
        <v>229500</v>
      </c>
      <c r="J37" s="3">
        <f t="shared" si="5"/>
        <v>72500</v>
      </c>
      <c r="K37" s="3">
        <f t="shared" si="6"/>
        <v>15000</v>
      </c>
      <c r="L37" s="4">
        <f t="shared" si="7"/>
        <v>1202000</v>
      </c>
      <c r="M37" s="5">
        <f t="shared" si="8"/>
        <v>4808000</v>
      </c>
    </row>
    <row r="38" spans="1:13">
      <c r="A38" s="11" t="s">
        <v>84</v>
      </c>
      <c r="B38" s="8">
        <v>19</v>
      </c>
      <c r="C38" s="8">
        <v>341</v>
      </c>
      <c r="D38" s="3">
        <v>36</v>
      </c>
      <c r="E38" s="3">
        <f t="shared" si="0"/>
        <v>95</v>
      </c>
      <c r="F38" s="3">
        <f t="shared" si="1"/>
        <v>682</v>
      </c>
      <c r="G38" s="3">
        <f t="shared" si="2"/>
        <v>324000</v>
      </c>
      <c r="H38" s="3">
        <f t="shared" si="3"/>
        <v>2046000</v>
      </c>
      <c r="I38" s="3">
        <f t="shared" si="4"/>
        <v>699300</v>
      </c>
      <c r="J38" s="3">
        <f t="shared" si="5"/>
        <v>203250</v>
      </c>
      <c r="K38" s="3">
        <f t="shared" si="6"/>
        <v>15000</v>
      </c>
      <c r="L38" s="4">
        <f t="shared" si="7"/>
        <v>3287550</v>
      </c>
      <c r="M38" s="5">
        <f t="shared" si="8"/>
        <v>13150200</v>
      </c>
    </row>
  </sheetData>
  <mergeCells count="1">
    <mergeCell ref="A1:A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A11" workbookViewId="0">
      <selection activeCell="D18" sqref="D18"/>
    </sheetView>
  </sheetViews>
  <sheetFormatPr defaultRowHeight="15"/>
  <cols>
    <col min="1" max="1" width="20.7109375" bestFit="1" customWidth="1"/>
    <col min="8" max="8" width="12" bestFit="1" customWidth="1"/>
  </cols>
  <sheetData>
    <row r="1" spans="1:12" ht="105">
      <c r="A1" s="550" t="s">
        <v>1</v>
      </c>
      <c r="B1" s="1" t="s">
        <v>40</v>
      </c>
      <c r="C1" s="1" t="s">
        <v>41</v>
      </c>
      <c r="D1" s="1" t="s">
        <v>42</v>
      </c>
      <c r="E1" s="6" t="s">
        <v>43</v>
      </c>
      <c r="F1" s="6" t="s">
        <v>44</v>
      </c>
      <c r="G1" s="6" t="s">
        <v>11</v>
      </c>
      <c r="H1" s="6" t="s">
        <v>47</v>
      </c>
      <c r="L1" t="s">
        <v>85</v>
      </c>
    </row>
    <row r="2" spans="1:12">
      <c r="A2" s="551"/>
      <c r="B2" s="1" t="s">
        <v>14</v>
      </c>
      <c r="C2" s="1" t="s">
        <v>15</v>
      </c>
      <c r="D2" s="6" t="s">
        <v>16</v>
      </c>
      <c r="E2" s="1" t="s">
        <v>27</v>
      </c>
      <c r="F2" s="6" t="s">
        <v>45</v>
      </c>
      <c r="G2" s="6" t="s">
        <v>46</v>
      </c>
      <c r="H2" s="6" t="s">
        <v>50</v>
      </c>
    </row>
    <row r="3" spans="1:12">
      <c r="A3" s="11" t="s">
        <v>51</v>
      </c>
      <c r="B3" s="3">
        <v>9</v>
      </c>
      <c r="C3" s="3">
        <v>34</v>
      </c>
      <c r="D3" s="3">
        <v>129</v>
      </c>
      <c r="E3" s="3">
        <f t="shared" ref="E3:E38" si="0">2*B3</f>
        <v>18</v>
      </c>
      <c r="F3" s="3">
        <f>SUM(C3:D3)</f>
        <v>163</v>
      </c>
      <c r="G3" s="3">
        <f t="shared" ref="G3:G38" si="1">300*F3</f>
        <v>48900</v>
      </c>
      <c r="H3" s="5">
        <f t="shared" ref="H3:H38" si="2">G3*12</f>
        <v>586800</v>
      </c>
    </row>
    <row r="4" spans="1:12">
      <c r="A4" s="11" t="s">
        <v>52</v>
      </c>
      <c r="B4" s="3">
        <v>243</v>
      </c>
      <c r="C4" s="3">
        <v>1387</v>
      </c>
      <c r="D4" s="3">
        <v>7914</v>
      </c>
      <c r="E4" s="3">
        <f t="shared" si="0"/>
        <v>486</v>
      </c>
      <c r="F4" s="3">
        <f t="shared" ref="F4:F38" si="3">SUM(C4:D4)</f>
        <v>9301</v>
      </c>
      <c r="G4" s="3">
        <f t="shared" si="1"/>
        <v>2790300</v>
      </c>
      <c r="H4" s="5">
        <f t="shared" si="2"/>
        <v>33483600</v>
      </c>
    </row>
    <row r="5" spans="1:12">
      <c r="A5" s="11" t="s">
        <v>53</v>
      </c>
      <c r="B5" s="3">
        <v>202</v>
      </c>
      <c r="C5" s="3">
        <v>219</v>
      </c>
      <c r="D5" s="3">
        <v>589</v>
      </c>
      <c r="E5" s="3">
        <f t="shared" si="0"/>
        <v>404</v>
      </c>
      <c r="F5" s="3">
        <f t="shared" si="3"/>
        <v>808</v>
      </c>
      <c r="G5" s="3">
        <f t="shared" si="1"/>
        <v>242400</v>
      </c>
      <c r="H5" s="5">
        <f t="shared" si="2"/>
        <v>2908800</v>
      </c>
    </row>
    <row r="6" spans="1:12">
      <c r="A6" s="11" t="s">
        <v>54</v>
      </c>
      <c r="B6" s="3">
        <v>173</v>
      </c>
      <c r="C6" s="3">
        <v>1242</v>
      </c>
      <c r="D6" s="3">
        <v>5471</v>
      </c>
      <c r="E6" s="3">
        <f t="shared" si="0"/>
        <v>346</v>
      </c>
      <c r="F6" s="3">
        <f t="shared" si="3"/>
        <v>6713</v>
      </c>
      <c r="G6" s="3">
        <f t="shared" si="1"/>
        <v>2013900</v>
      </c>
      <c r="H6" s="5">
        <f t="shared" si="2"/>
        <v>24166800</v>
      </c>
    </row>
    <row r="7" spans="1:12">
      <c r="A7" s="11" t="s">
        <v>55</v>
      </c>
      <c r="B7" s="3">
        <v>534</v>
      </c>
      <c r="C7" s="3">
        <v>1066</v>
      </c>
      <c r="D7" s="3">
        <v>11574</v>
      </c>
      <c r="E7" s="3">
        <f t="shared" si="0"/>
        <v>1068</v>
      </c>
      <c r="F7" s="3">
        <f t="shared" si="3"/>
        <v>12640</v>
      </c>
      <c r="G7" s="3">
        <f t="shared" si="1"/>
        <v>3792000</v>
      </c>
      <c r="H7" s="5">
        <f t="shared" si="2"/>
        <v>45504000</v>
      </c>
    </row>
    <row r="8" spans="1:12">
      <c r="A8" s="11" t="s">
        <v>56</v>
      </c>
      <c r="B8" s="3">
        <v>1</v>
      </c>
      <c r="C8" s="3">
        <v>46</v>
      </c>
      <c r="D8" s="3">
        <v>19</v>
      </c>
      <c r="E8" s="3">
        <f t="shared" si="0"/>
        <v>2</v>
      </c>
      <c r="F8" s="3">
        <f t="shared" si="3"/>
        <v>65</v>
      </c>
      <c r="G8" s="3">
        <f t="shared" si="1"/>
        <v>19500</v>
      </c>
      <c r="H8" s="5">
        <f t="shared" si="2"/>
        <v>234000</v>
      </c>
    </row>
    <row r="9" spans="1:12">
      <c r="A9" s="11" t="s">
        <v>57</v>
      </c>
      <c r="B9" s="3">
        <v>147</v>
      </c>
      <c r="C9" s="3">
        <v>1029</v>
      </c>
      <c r="D9" s="3">
        <v>5426</v>
      </c>
      <c r="E9" s="3">
        <f t="shared" si="0"/>
        <v>294</v>
      </c>
      <c r="F9" s="3">
        <f t="shared" si="3"/>
        <v>6455</v>
      </c>
      <c r="G9" s="3">
        <f t="shared" si="1"/>
        <v>1936500</v>
      </c>
      <c r="H9" s="5">
        <f t="shared" si="2"/>
        <v>23238000</v>
      </c>
    </row>
    <row r="10" spans="1:12">
      <c r="A10" s="11" t="s">
        <v>58</v>
      </c>
      <c r="B10" s="3">
        <v>1</v>
      </c>
      <c r="C10" s="3">
        <v>9</v>
      </c>
      <c r="D10" s="3">
        <v>51</v>
      </c>
      <c r="E10" s="3">
        <f t="shared" si="0"/>
        <v>2</v>
      </c>
      <c r="F10" s="3">
        <f t="shared" si="3"/>
        <v>60</v>
      </c>
      <c r="G10" s="3">
        <f t="shared" si="1"/>
        <v>18000</v>
      </c>
      <c r="H10" s="5">
        <f t="shared" si="2"/>
        <v>216000</v>
      </c>
    </row>
    <row r="11" spans="1:12">
      <c r="A11" s="11" t="s">
        <v>59</v>
      </c>
      <c r="B11" s="3">
        <v>2</v>
      </c>
      <c r="C11" s="3">
        <v>4</v>
      </c>
      <c r="D11" s="3">
        <v>26</v>
      </c>
      <c r="E11" s="3">
        <f t="shared" si="0"/>
        <v>4</v>
      </c>
      <c r="F11" s="3">
        <f t="shared" si="3"/>
        <v>30</v>
      </c>
      <c r="G11" s="3">
        <f t="shared" si="1"/>
        <v>9000</v>
      </c>
      <c r="H11" s="5">
        <f t="shared" si="2"/>
        <v>108000</v>
      </c>
    </row>
    <row r="12" spans="1:12">
      <c r="A12" s="11" t="s">
        <v>60</v>
      </c>
      <c r="B12" s="3">
        <v>11</v>
      </c>
      <c r="C12" s="3">
        <v>488</v>
      </c>
      <c r="D12" s="3">
        <v>2508</v>
      </c>
      <c r="E12" s="3">
        <f t="shared" si="0"/>
        <v>22</v>
      </c>
      <c r="F12" s="3">
        <f t="shared" si="3"/>
        <v>2996</v>
      </c>
      <c r="G12" s="3">
        <f t="shared" si="1"/>
        <v>898800</v>
      </c>
      <c r="H12" s="5">
        <f t="shared" si="2"/>
        <v>10785600</v>
      </c>
    </row>
    <row r="13" spans="1:12">
      <c r="A13" s="11" t="s">
        <v>5</v>
      </c>
      <c r="B13" s="3">
        <v>12</v>
      </c>
      <c r="C13" s="3">
        <v>33</v>
      </c>
      <c r="D13" s="3">
        <v>225</v>
      </c>
      <c r="E13" s="3">
        <f t="shared" si="0"/>
        <v>24</v>
      </c>
      <c r="F13" s="3">
        <f t="shared" si="3"/>
        <v>258</v>
      </c>
      <c r="G13" s="3">
        <f t="shared" si="1"/>
        <v>77400</v>
      </c>
      <c r="H13" s="5">
        <f t="shared" si="2"/>
        <v>928800</v>
      </c>
    </row>
    <row r="14" spans="1:12">
      <c r="A14" s="11" t="s">
        <v>61</v>
      </c>
      <c r="B14" s="3">
        <v>174</v>
      </c>
      <c r="C14" s="3">
        <v>1843</v>
      </c>
      <c r="D14" s="3">
        <v>7247</v>
      </c>
      <c r="E14" s="3">
        <f t="shared" si="0"/>
        <v>348</v>
      </c>
      <c r="F14" s="3">
        <f t="shared" si="3"/>
        <v>9090</v>
      </c>
      <c r="G14" s="3">
        <f t="shared" si="1"/>
        <v>2727000</v>
      </c>
      <c r="H14" s="5">
        <f t="shared" si="2"/>
        <v>32724000</v>
      </c>
    </row>
    <row r="15" spans="1:12">
      <c r="A15" s="11" t="s">
        <v>62</v>
      </c>
      <c r="B15" s="3">
        <v>143</v>
      </c>
      <c r="C15" s="3">
        <v>635</v>
      </c>
      <c r="D15" s="3">
        <v>3206</v>
      </c>
      <c r="E15" s="3">
        <f t="shared" si="0"/>
        <v>286</v>
      </c>
      <c r="F15" s="3">
        <f t="shared" si="3"/>
        <v>3841</v>
      </c>
      <c r="G15" s="3">
        <f t="shared" si="1"/>
        <v>1152300</v>
      </c>
      <c r="H15" s="5">
        <f t="shared" si="2"/>
        <v>13827600</v>
      </c>
    </row>
    <row r="16" spans="1:12">
      <c r="A16" s="11" t="s">
        <v>63</v>
      </c>
      <c r="B16" s="3">
        <v>70</v>
      </c>
      <c r="C16" s="3">
        <v>602</v>
      </c>
      <c r="D16" s="3">
        <v>2695</v>
      </c>
      <c r="E16" s="3">
        <f t="shared" si="0"/>
        <v>140</v>
      </c>
      <c r="F16" s="3">
        <f t="shared" si="3"/>
        <v>3297</v>
      </c>
      <c r="G16" s="3">
        <f t="shared" si="1"/>
        <v>989100</v>
      </c>
      <c r="H16" s="5">
        <f t="shared" si="2"/>
        <v>11869200</v>
      </c>
    </row>
    <row r="17" spans="1:8">
      <c r="A17" s="11" t="s">
        <v>64</v>
      </c>
      <c r="B17" s="3">
        <v>120</v>
      </c>
      <c r="C17" s="3">
        <v>776</v>
      </c>
      <c r="D17" s="3">
        <v>2994</v>
      </c>
      <c r="E17" s="3">
        <f t="shared" si="0"/>
        <v>240</v>
      </c>
      <c r="F17" s="3">
        <f t="shared" si="3"/>
        <v>3770</v>
      </c>
      <c r="G17" s="3">
        <f t="shared" si="1"/>
        <v>1131000</v>
      </c>
      <c r="H17" s="5">
        <f t="shared" si="2"/>
        <v>13572000</v>
      </c>
    </row>
    <row r="18" spans="1:8">
      <c r="A18" s="11" t="s">
        <v>65</v>
      </c>
      <c r="B18" s="3">
        <v>197</v>
      </c>
      <c r="C18" s="3">
        <v>541</v>
      </c>
      <c r="D18" s="3">
        <v>4160</v>
      </c>
      <c r="E18" s="3">
        <f t="shared" si="0"/>
        <v>394</v>
      </c>
      <c r="F18" s="3">
        <f t="shared" si="3"/>
        <v>4701</v>
      </c>
      <c r="G18" s="3">
        <f t="shared" si="1"/>
        <v>1410300</v>
      </c>
      <c r="H18" s="5">
        <f t="shared" si="2"/>
        <v>16923600</v>
      </c>
    </row>
    <row r="19" spans="1:8">
      <c r="A19" s="11" t="s">
        <v>66</v>
      </c>
      <c r="B19" s="3">
        <v>177</v>
      </c>
      <c r="C19" s="3">
        <v>2793</v>
      </c>
      <c r="D19" s="3">
        <v>10709</v>
      </c>
      <c r="E19" s="3">
        <f t="shared" si="0"/>
        <v>354</v>
      </c>
      <c r="F19" s="3">
        <f t="shared" si="3"/>
        <v>13502</v>
      </c>
      <c r="G19" s="3">
        <f t="shared" si="1"/>
        <v>4050600</v>
      </c>
      <c r="H19" s="5">
        <f t="shared" si="2"/>
        <v>48607200</v>
      </c>
    </row>
    <row r="20" spans="1:8">
      <c r="A20" s="11" t="s">
        <v>67</v>
      </c>
      <c r="B20" s="3">
        <v>269</v>
      </c>
      <c r="C20" s="3">
        <v>1363</v>
      </c>
      <c r="D20" s="3">
        <v>5662</v>
      </c>
      <c r="E20" s="3">
        <f t="shared" si="0"/>
        <v>538</v>
      </c>
      <c r="F20" s="3">
        <f t="shared" si="3"/>
        <v>7025</v>
      </c>
      <c r="G20" s="3">
        <f t="shared" si="1"/>
        <v>2107500</v>
      </c>
      <c r="H20" s="5">
        <f t="shared" si="2"/>
        <v>25290000</v>
      </c>
    </row>
    <row r="21" spans="1:8">
      <c r="A21" s="11" t="s">
        <v>68</v>
      </c>
      <c r="B21" s="3">
        <v>10</v>
      </c>
      <c r="C21" s="3">
        <v>10</v>
      </c>
      <c r="D21" s="3">
        <v>14</v>
      </c>
      <c r="E21" s="3">
        <f t="shared" si="0"/>
        <v>20</v>
      </c>
      <c r="F21" s="3">
        <f t="shared" si="3"/>
        <v>24</v>
      </c>
      <c r="G21" s="3">
        <f t="shared" si="1"/>
        <v>7200</v>
      </c>
      <c r="H21" s="5">
        <f t="shared" si="2"/>
        <v>86400</v>
      </c>
    </row>
    <row r="22" spans="1:8">
      <c r="A22" s="11" t="s">
        <v>69</v>
      </c>
      <c r="B22" s="3">
        <v>314</v>
      </c>
      <c r="C22" s="3">
        <v>1671</v>
      </c>
      <c r="D22" s="3">
        <v>9078</v>
      </c>
      <c r="E22" s="3">
        <f t="shared" si="0"/>
        <v>628</v>
      </c>
      <c r="F22" s="3">
        <f t="shared" si="3"/>
        <v>10749</v>
      </c>
      <c r="G22" s="3">
        <f t="shared" si="1"/>
        <v>3224700</v>
      </c>
      <c r="H22" s="5">
        <f t="shared" si="2"/>
        <v>38696400</v>
      </c>
    </row>
    <row r="23" spans="1:8">
      <c r="A23" s="11" t="s">
        <v>70</v>
      </c>
      <c r="B23" s="3">
        <v>379</v>
      </c>
      <c r="C23" s="3">
        <v>3179</v>
      </c>
      <c r="D23" s="3">
        <v>10614</v>
      </c>
      <c r="E23" s="3">
        <f t="shared" si="0"/>
        <v>758</v>
      </c>
      <c r="F23" s="3">
        <f t="shared" si="3"/>
        <v>13793</v>
      </c>
      <c r="G23" s="3">
        <f t="shared" si="1"/>
        <v>4137900</v>
      </c>
      <c r="H23" s="5">
        <f t="shared" si="2"/>
        <v>49654800</v>
      </c>
    </row>
    <row r="24" spans="1:8">
      <c r="A24" s="11" t="s">
        <v>71</v>
      </c>
      <c r="B24" s="3">
        <v>39</v>
      </c>
      <c r="C24" s="3">
        <v>101</v>
      </c>
      <c r="D24" s="3">
        <v>495</v>
      </c>
      <c r="E24" s="3">
        <f t="shared" si="0"/>
        <v>78</v>
      </c>
      <c r="F24" s="3">
        <f t="shared" si="3"/>
        <v>596</v>
      </c>
      <c r="G24" s="3">
        <f t="shared" si="1"/>
        <v>178800</v>
      </c>
      <c r="H24" s="5">
        <f t="shared" si="2"/>
        <v>2145600</v>
      </c>
    </row>
    <row r="25" spans="1:8">
      <c r="A25" s="11" t="s">
        <v>72</v>
      </c>
      <c r="B25" s="3">
        <v>39</v>
      </c>
      <c r="C25" s="3">
        <v>191</v>
      </c>
      <c r="D25" s="3">
        <v>607</v>
      </c>
      <c r="E25" s="3">
        <f t="shared" si="0"/>
        <v>78</v>
      </c>
      <c r="F25" s="3">
        <f t="shared" si="3"/>
        <v>798</v>
      </c>
      <c r="G25" s="3">
        <f t="shared" si="1"/>
        <v>239400</v>
      </c>
      <c r="H25" s="5">
        <f t="shared" si="2"/>
        <v>2872800</v>
      </c>
    </row>
    <row r="26" spans="1:8">
      <c r="A26" s="11" t="s">
        <v>73</v>
      </c>
      <c r="B26" s="3">
        <v>8</v>
      </c>
      <c r="C26" s="3">
        <v>95</v>
      </c>
      <c r="D26" s="3">
        <v>433</v>
      </c>
      <c r="E26" s="3">
        <f t="shared" si="0"/>
        <v>16</v>
      </c>
      <c r="F26" s="3">
        <f t="shared" si="3"/>
        <v>528</v>
      </c>
      <c r="G26" s="3">
        <f t="shared" si="1"/>
        <v>158400</v>
      </c>
      <c r="H26" s="5">
        <f t="shared" si="2"/>
        <v>1900800</v>
      </c>
    </row>
    <row r="27" spans="1:8">
      <c r="A27" s="11" t="s">
        <v>74</v>
      </c>
      <c r="B27" s="3">
        <v>114</v>
      </c>
      <c r="C27" s="3">
        <v>226</v>
      </c>
      <c r="D27" s="3">
        <v>555</v>
      </c>
      <c r="E27" s="3">
        <f t="shared" si="0"/>
        <v>228</v>
      </c>
      <c r="F27" s="3">
        <f t="shared" si="3"/>
        <v>781</v>
      </c>
      <c r="G27" s="3">
        <f t="shared" si="1"/>
        <v>234300</v>
      </c>
      <c r="H27" s="5">
        <f t="shared" si="2"/>
        <v>2811600</v>
      </c>
    </row>
    <row r="28" spans="1:8">
      <c r="A28" s="11" t="s">
        <v>75</v>
      </c>
      <c r="B28" s="3">
        <v>314</v>
      </c>
      <c r="C28" s="3">
        <v>404</v>
      </c>
      <c r="D28" s="3">
        <v>7314</v>
      </c>
      <c r="E28" s="3">
        <f t="shared" si="0"/>
        <v>628</v>
      </c>
      <c r="F28" s="3">
        <f t="shared" si="3"/>
        <v>7718</v>
      </c>
      <c r="G28" s="3">
        <f t="shared" si="1"/>
        <v>2315400</v>
      </c>
      <c r="H28" s="5">
        <f t="shared" si="2"/>
        <v>27784800</v>
      </c>
    </row>
    <row r="29" spans="1:8">
      <c r="A29" s="11" t="s">
        <v>76</v>
      </c>
      <c r="B29" s="3">
        <v>15</v>
      </c>
      <c r="C29" s="3">
        <v>54</v>
      </c>
      <c r="D29" s="3">
        <v>79</v>
      </c>
      <c r="E29" s="3">
        <f t="shared" si="0"/>
        <v>30</v>
      </c>
      <c r="F29" s="3">
        <f t="shared" si="3"/>
        <v>133</v>
      </c>
      <c r="G29" s="3">
        <f t="shared" si="1"/>
        <v>39900</v>
      </c>
      <c r="H29" s="5">
        <f t="shared" si="2"/>
        <v>478800</v>
      </c>
    </row>
    <row r="30" spans="1:8">
      <c r="A30" s="11" t="s">
        <v>77</v>
      </c>
      <c r="B30" s="3">
        <v>179</v>
      </c>
      <c r="C30" s="3">
        <v>681</v>
      </c>
      <c r="D30" s="3">
        <v>3194</v>
      </c>
      <c r="E30" s="3">
        <f t="shared" si="0"/>
        <v>358</v>
      </c>
      <c r="F30" s="3">
        <f t="shared" si="3"/>
        <v>3875</v>
      </c>
      <c r="G30" s="3">
        <f t="shared" si="1"/>
        <v>1162500</v>
      </c>
      <c r="H30" s="5">
        <f t="shared" si="2"/>
        <v>13950000</v>
      </c>
    </row>
    <row r="31" spans="1:8">
      <c r="A31" s="11" t="s">
        <v>78</v>
      </c>
      <c r="B31" s="3">
        <v>249</v>
      </c>
      <c r="C31" s="3">
        <v>2963</v>
      </c>
      <c r="D31" s="3">
        <v>16260</v>
      </c>
      <c r="E31" s="3">
        <f t="shared" si="0"/>
        <v>498</v>
      </c>
      <c r="F31" s="3">
        <f t="shared" si="3"/>
        <v>19223</v>
      </c>
      <c r="G31" s="3">
        <f t="shared" si="1"/>
        <v>5766900</v>
      </c>
      <c r="H31" s="5">
        <f t="shared" si="2"/>
        <v>69202800</v>
      </c>
    </row>
    <row r="32" spans="1:8">
      <c r="A32" s="11" t="s">
        <v>79</v>
      </c>
      <c r="B32" s="3">
        <v>32</v>
      </c>
      <c r="C32" s="3">
        <v>33</v>
      </c>
      <c r="D32" s="3">
        <v>195</v>
      </c>
      <c r="E32" s="3">
        <f t="shared" si="0"/>
        <v>64</v>
      </c>
      <c r="F32" s="3">
        <f t="shared" si="3"/>
        <v>228</v>
      </c>
      <c r="G32" s="3">
        <f t="shared" si="1"/>
        <v>68400</v>
      </c>
      <c r="H32" s="5">
        <f t="shared" si="2"/>
        <v>820800</v>
      </c>
    </row>
    <row r="33" spans="1:8">
      <c r="A33" s="11" t="s">
        <v>80</v>
      </c>
      <c r="B33" s="3">
        <v>547</v>
      </c>
      <c r="C33" s="3">
        <v>1613</v>
      </c>
      <c r="D33" s="3">
        <v>10222</v>
      </c>
      <c r="E33" s="3">
        <f t="shared" si="0"/>
        <v>1094</v>
      </c>
      <c r="F33" s="3">
        <f t="shared" si="3"/>
        <v>11835</v>
      </c>
      <c r="G33" s="3">
        <f t="shared" si="1"/>
        <v>3550500</v>
      </c>
      <c r="H33" s="5">
        <f t="shared" si="2"/>
        <v>42606000</v>
      </c>
    </row>
    <row r="34" spans="1:8">
      <c r="A34" s="11" t="s">
        <v>81</v>
      </c>
      <c r="B34" s="3">
        <v>162</v>
      </c>
      <c r="C34" s="3">
        <v>848</v>
      </c>
      <c r="D34" s="3">
        <v>5117</v>
      </c>
      <c r="E34" s="3">
        <f t="shared" si="0"/>
        <v>324</v>
      </c>
      <c r="F34" s="3">
        <f t="shared" si="3"/>
        <v>5965</v>
      </c>
      <c r="G34" s="3">
        <f t="shared" si="1"/>
        <v>1789500</v>
      </c>
      <c r="H34" s="5">
        <f t="shared" si="2"/>
        <v>21474000</v>
      </c>
    </row>
    <row r="35" spans="1:8">
      <c r="A35" s="11" t="s">
        <v>82</v>
      </c>
      <c r="B35" s="3">
        <v>20</v>
      </c>
      <c r="C35" s="3">
        <v>131</v>
      </c>
      <c r="D35" s="3">
        <v>982</v>
      </c>
      <c r="E35" s="3">
        <f t="shared" si="0"/>
        <v>40</v>
      </c>
      <c r="F35" s="3">
        <f t="shared" si="3"/>
        <v>1113</v>
      </c>
      <c r="G35" s="3">
        <f t="shared" si="1"/>
        <v>333900</v>
      </c>
      <c r="H35" s="5">
        <f t="shared" si="2"/>
        <v>4006800</v>
      </c>
    </row>
    <row r="36" spans="1:8">
      <c r="A36" s="11" t="s">
        <v>4</v>
      </c>
      <c r="B36" s="3">
        <v>1019</v>
      </c>
      <c r="C36" s="3">
        <v>3407</v>
      </c>
      <c r="D36" s="3">
        <v>25163</v>
      </c>
      <c r="E36" s="3">
        <f t="shared" si="0"/>
        <v>2038</v>
      </c>
      <c r="F36" s="3">
        <f t="shared" si="3"/>
        <v>28570</v>
      </c>
      <c r="G36" s="3">
        <f t="shared" si="1"/>
        <v>8571000</v>
      </c>
      <c r="H36" s="5">
        <f t="shared" si="2"/>
        <v>102852000</v>
      </c>
    </row>
    <row r="37" spans="1:8">
      <c r="A37" s="11" t="s">
        <v>83</v>
      </c>
      <c r="B37" s="3">
        <v>95</v>
      </c>
      <c r="C37" s="3">
        <v>386</v>
      </c>
      <c r="D37" s="3">
        <v>2083</v>
      </c>
      <c r="E37" s="3">
        <f t="shared" si="0"/>
        <v>190</v>
      </c>
      <c r="F37" s="3">
        <f t="shared" si="3"/>
        <v>2469</v>
      </c>
      <c r="G37" s="3">
        <f t="shared" si="1"/>
        <v>740700</v>
      </c>
      <c r="H37" s="5">
        <f t="shared" si="2"/>
        <v>8888400</v>
      </c>
    </row>
    <row r="38" spans="1:8">
      <c r="A38" s="11" t="s">
        <v>84</v>
      </c>
      <c r="B38" s="3">
        <v>341</v>
      </c>
      <c r="C38" s="3">
        <v>1249</v>
      </c>
      <c r="D38" s="3">
        <v>10387</v>
      </c>
      <c r="E38" s="3">
        <f t="shared" si="0"/>
        <v>682</v>
      </c>
      <c r="F38" s="3">
        <f t="shared" si="3"/>
        <v>11636</v>
      </c>
      <c r="G38" s="3">
        <f t="shared" si="1"/>
        <v>3490800</v>
      </c>
      <c r="H38" s="5">
        <f t="shared" si="2"/>
        <v>41889600</v>
      </c>
    </row>
  </sheetData>
  <mergeCells count="1">
    <mergeCell ref="A1:A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F20" sqref="F20"/>
    </sheetView>
  </sheetViews>
  <sheetFormatPr defaultRowHeight="15"/>
  <cols>
    <col min="2" max="2" width="54.7109375" customWidth="1"/>
    <col min="3" max="3" width="9.7109375" customWidth="1"/>
    <col min="4" max="4" width="9.85546875" customWidth="1"/>
    <col min="5" max="5" width="11.5703125" customWidth="1"/>
    <col min="6" max="6" width="9" customWidth="1"/>
    <col min="7" max="7" width="11.42578125" customWidth="1"/>
    <col min="8" max="8" width="9.85546875" customWidth="1"/>
    <col min="9" max="10" width="8.5703125" customWidth="1"/>
    <col min="11" max="12" width="10.5703125" customWidth="1"/>
    <col min="13" max="13" width="17.42578125" customWidth="1"/>
  </cols>
  <sheetData>
    <row r="1" spans="1:13" ht="15.75">
      <c r="A1" s="552" t="s">
        <v>442</v>
      </c>
      <c r="B1" s="552"/>
      <c r="C1" s="552"/>
      <c r="D1" s="552"/>
      <c r="E1" s="552"/>
      <c r="F1" s="552"/>
      <c r="G1" s="552"/>
      <c r="H1" s="552"/>
      <c r="I1" s="552"/>
      <c r="J1" s="552"/>
      <c r="K1" s="552"/>
      <c r="L1" s="552"/>
    </row>
    <row r="2" spans="1:13" ht="21">
      <c r="A2" s="553" t="s">
        <v>404</v>
      </c>
      <c r="B2" s="554"/>
      <c r="C2" s="554"/>
      <c r="D2" s="554"/>
      <c r="E2" s="554"/>
      <c r="F2" s="554"/>
      <c r="G2" s="554"/>
      <c r="H2" s="554"/>
      <c r="I2" s="554"/>
      <c r="J2" s="554"/>
      <c r="K2" s="554"/>
      <c r="L2" s="554"/>
      <c r="M2" s="145"/>
    </row>
    <row r="3" spans="1:13" ht="28.5" customHeight="1">
      <c r="A3" s="393" t="s">
        <v>399</v>
      </c>
      <c r="B3" s="344" t="s">
        <v>400</v>
      </c>
      <c r="C3" s="393" t="s">
        <v>412</v>
      </c>
      <c r="D3" s="393" t="s">
        <v>413</v>
      </c>
      <c r="E3" s="393" t="s">
        <v>363</v>
      </c>
      <c r="F3" s="393" t="s">
        <v>364</v>
      </c>
      <c r="G3" s="393" t="s">
        <v>365</v>
      </c>
      <c r="H3" s="393" t="s">
        <v>366</v>
      </c>
      <c r="I3" s="393" t="s">
        <v>367</v>
      </c>
      <c r="J3" s="393" t="s">
        <v>368</v>
      </c>
      <c r="K3" s="393" t="s">
        <v>369</v>
      </c>
      <c r="L3" s="396" t="s">
        <v>73</v>
      </c>
      <c r="M3" s="395" t="s">
        <v>445</v>
      </c>
    </row>
    <row r="4" spans="1:13" ht="86.25" customHeight="1">
      <c r="A4" s="393">
        <v>1</v>
      </c>
      <c r="B4" s="345" t="s">
        <v>410</v>
      </c>
      <c r="C4" s="362">
        <v>89700</v>
      </c>
      <c r="D4" s="362">
        <v>83800</v>
      </c>
      <c r="E4" s="362">
        <v>48200</v>
      </c>
      <c r="F4" s="362">
        <v>33500</v>
      </c>
      <c r="G4" s="362">
        <v>41600</v>
      </c>
      <c r="H4" s="362">
        <v>59400</v>
      </c>
      <c r="I4" s="362">
        <v>26900</v>
      </c>
      <c r="J4" s="362">
        <v>23000</v>
      </c>
      <c r="K4" s="362">
        <v>24100</v>
      </c>
      <c r="L4" s="397">
        <v>430200</v>
      </c>
      <c r="M4" s="145" t="s">
        <v>379</v>
      </c>
    </row>
    <row r="5" spans="1:13" ht="40.5" customHeight="1">
      <c r="A5" s="393">
        <v>2</v>
      </c>
      <c r="B5" s="346" t="s">
        <v>411</v>
      </c>
      <c r="C5" s="207">
        <v>115200</v>
      </c>
      <c r="D5" s="207">
        <v>72000</v>
      </c>
      <c r="E5" s="207">
        <v>72000</v>
      </c>
      <c r="F5" s="207">
        <v>33600</v>
      </c>
      <c r="G5" s="207">
        <v>43200</v>
      </c>
      <c r="H5" s="207">
        <v>91200</v>
      </c>
      <c r="I5" s="207">
        <v>48000</v>
      </c>
      <c r="J5" s="207">
        <v>28800</v>
      </c>
      <c r="K5" s="207">
        <v>33600</v>
      </c>
      <c r="L5" s="398">
        <v>537600</v>
      </c>
      <c r="M5" s="145" t="s">
        <v>379</v>
      </c>
    </row>
    <row r="6" spans="1:13" ht="15.75">
      <c r="A6" s="393"/>
      <c r="B6" s="344"/>
      <c r="C6" s="145"/>
      <c r="D6" s="145"/>
      <c r="E6" s="145"/>
      <c r="F6" s="145"/>
      <c r="G6" s="145"/>
      <c r="H6" s="145"/>
      <c r="I6" s="145"/>
      <c r="J6" s="145"/>
      <c r="K6" s="145"/>
      <c r="L6" s="399"/>
      <c r="M6" s="145"/>
    </row>
    <row r="7" spans="1:13" ht="31.5">
      <c r="A7" s="393">
        <v>3</v>
      </c>
      <c r="B7" s="347" t="s">
        <v>451</v>
      </c>
      <c r="C7" s="145"/>
      <c r="D7" s="145"/>
      <c r="E7" s="145"/>
      <c r="F7" s="145"/>
      <c r="G7" s="145"/>
      <c r="H7" s="145"/>
      <c r="I7" s="145"/>
      <c r="J7" s="145"/>
      <c r="K7" s="145"/>
      <c r="L7" s="399"/>
      <c r="M7" s="145"/>
    </row>
    <row r="8" spans="1:13" ht="48.75" customHeight="1">
      <c r="A8" s="393">
        <v>1</v>
      </c>
      <c r="B8" s="347" t="s">
        <v>444</v>
      </c>
      <c r="C8" s="362">
        <v>60890</v>
      </c>
      <c r="D8" s="362">
        <v>27408</v>
      </c>
      <c r="E8" s="362">
        <v>71100</v>
      </c>
      <c r="F8" s="362">
        <v>22780</v>
      </c>
      <c r="G8" s="362">
        <v>38050</v>
      </c>
      <c r="H8" s="362">
        <v>61865</v>
      </c>
      <c r="I8" s="362">
        <v>32938</v>
      </c>
      <c r="J8" s="362">
        <v>22260</v>
      </c>
      <c r="K8" s="362">
        <v>25880</v>
      </c>
      <c r="L8" s="397">
        <v>359473</v>
      </c>
      <c r="M8" s="554" t="s">
        <v>379</v>
      </c>
    </row>
    <row r="9" spans="1:13" ht="15.75">
      <c r="A9" s="393">
        <v>2</v>
      </c>
      <c r="B9" s="347" t="s">
        <v>401</v>
      </c>
      <c r="C9" s="348">
        <v>16412</v>
      </c>
      <c r="D9" s="348">
        <v>15420</v>
      </c>
      <c r="E9" s="348">
        <v>34620</v>
      </c>
      <c r="F9" s="348">
        <v>26940</v>
      </c>
      <c r="G9" s="348">
        <v>13560</v>
      </c>
      <c r="H9" s="348">
        <v>32940</v>
      </c>
      <c r="I9" s="348">
        <v>34120</v>
      </c>
      <c r="J9" s="348">
        <v>30430</v>
      </c>
      <c r="K9" s="348">
        <v>29485</v>
      </c>
      <c r="L9" s="400">
        <f>SUM(C9:K9)</f>
        <v>233927</v>
      </c>
      <c r="M9" s="554"/>
    </row>
    <row r="10" spans="1:13" ht="15.75">
      <c r="A10" s="145"/>
      <c r="B10" s="349" t="s">
        <v>402</v>
      </c>
      <c r="C10" s="348">
        <f>SUM(C8:C9)</f>
        <v>77302</v>
      </c>
      <c r="D10" s="348">
        <f t="shared" ref="D10:L10" si="0">SUM(D8:D9)</f>
        <v>42828</v>
      </c>
      <c r="E10" s="348">
        <f t="shared" si="0"/>
        <v>105720</v>
      </c>
      <c r="F10" s="348">
        <f>SUM(F8:F9)</f>
        <v>49720</v>
      </c>
      <c r="G10" s="348">
        <f t="shared" si="0"/>
        <v>51610</v>
      </c>
      <c r="H10" s="348">
        <f t="shared" si="0"/>
        <v>94805</v>
      </c>
      <c r="I10" s="348">
        <f t="shared" si="0"/>
        <v>67058</v>
      </c>
      <c r="J10" s="348">
        <f t="shared" si="0"/>
        <v>52690</v>
      </c>
      <c r="K10" s="348">
        <f t="shared" si="0"/>
        <v>55365</v>
      </c>
      <c r="L10" s="400">
        <f t="shared" si="0"/>
        <v>593400</v>
      </c>
      <c r="M10" s="554"/>
    </row>
    <row r="11" spans="1:13" ht="15.75">
      <c r="A11" s="393"/>
      <c r="B11" s="350" t="s">
        <v>403</v>
      </c>
      <c r="C11" s="362">
        <f>C10+C5+C4</f>
        <v>282202</v>
      </c>
      <c r="D11" s="362">
        <f t="shared" ref="D11:L11" si="1">D10+D5+D4</f>
        <v>198628</v>
      </c>
      <c r="E11" s="362">
        <f t="shared" si="1"/>
        <v>225920</v>
      </c>
      <c r="F11" s="362">
        <f t="shared" si="1"/>
        <v>116820</v>
      </c>
      <c r="G11" s="362">
        <f t="shared" si="1"/>
        <v>136410</v>
      </c>
      <c r="H11" s="362">
        <f t="shared" si="1"/>
        <v>245405</v>
      </c>
      <c r="I11" s="362">
        <f t="shared" si="1"/>
        <v>141958</v>
      </c>
      <c r="J11" s="362">
        <f t="shared" si="1"/>
        <v>104490</v>
      </c>
      <c r="K11" s="362">
        <f t="shared" si="1"/>
        <v>113065</v>
      </c>
      <c r="L11" s="397">
        <f t="shared" si="1"/>
        <v>1561200</v>
      </c>
      <c r="M11" s="145"/>
    </row>
    <row r="12" spans="1:13" ht="21" customHeight="1">
      <c r="A12" s="555" t="s">
        <v>443</v>
      </c>
      <c r="B12" s="556"/>
      <c r="C12" s="556"/>
      <c r="D12" s="556"/>
      <c r="E12" s="556"/>
      <c r="F12" s="556"/>
      <c r="G12" s="556"/>
      <c r="H12" s="556"/>
      <c r="I12" s="556"/>
      <c r="J12" s="556"/>
      <c r="K12" s="556"/>
      <c r="L12" s="556"/>
    </row>
    <row r="13" spans="1:13" ht="25.5" customHeight="1"/>
  </sheetData>
  <mergeCells count="4">
    <mergeCell ref="A1:L1"/>
    <mergeCell ref="A2:L2"/>
    <mergeCell ref="A12:L12"/>
    <mergeCell ref="M8:M10"/>
  </mergeCells>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D15" sqref="D15"/>
    </sheetView>
  </sheetViews>
  <sheetFormatPr defaultRowHeight="15"/>
  <cols>
    <col min="2" max="2" width="41.7109375" customWidth="1"/>
    <col min="3" max="5" width="14.85546875" customWidth="1"/>
    <col min="6" max="6" width="20.7109375" customWidth="1"/>
  </cols>
  <sheetData>
    <row r="1" spans="1:6" ht="15.75">
      <c r="A1" s="559" t="s">
        <v>446</v>
      </c>
      <c r="B1" s="559"/>
      <c r="C1" s="559"/>
      <c r="D1" s="559"/>
      <c r="E1" s="559"/>
      <c r="F1" s="559"/>
    </row>
    <row r="2" spans="1:6" ht="21">
      <c r="A2" s="560" t="s">
        <v>404</v>
      </c>
      <c r="B2" s="561"/>
      <c r="C2" s="561"/>
      <c r="D2" s="561"/>
      <c r="E2" s="561"/>
      <c r="F2" s="561"/>
    </row>
    <row r="3" spans="1:6" ht="30">
      <c r="A3" s="562" t="s">
        <v>399</v>
      </c>
      <c r="B3" s="562" t="s">
        <v>400</v>
      </c>
      <c r="C3" s="563" t="s">
        <v>447</v>
      </c>
      <c r="D3" s="561"/>
      <c r="E3" s="564"/>
      <c r="F3" s="3" t="s">
        <v>429</v>
      </c>
    </row>
    <row r="4" spans="1:6" ht="51">
      <c r="A4" s="562"/>
      <c r="B4" s="562"/>
      <c r="C4" s="369" t="s">
        <v>122</v>
      </c>
      <c r="D4" s="369" t="s">
        <v>123</v>
      </c>
      <c r="E4" s="369" t="s">
        <v>124</v>
      </c>
      <c r="F4" s="187" t="s">
        <v>448</v>
      </c>
    </row>
    <row r="5" spans="1:6" ht="31.5">
      <c r="A5" s="343">
        <v>1</v>
      </c>
      <c r="B5" s="394" t="s">
        <v>449</v>
      </c>
      <c r="C5" s="362">
        <v>2.5</v>
      </c>
      <c r="D5" s="362"/>
      <c r="E5" s="362"/>
      <c r="F5" s="362">
        <v>2.5</v>
      </c>
    </row>
    <row r="6" spans="1:6" ht="15.75">
      <c r="A6" s="145"/>
      <c r="B6" s="349" t="s">
        <v>402</v>
      </c>
      <c r="C6" s="348"/>
      <c r="D6" s="348"/>
      <c r="E6" s="348"/>
      <c r="F6" s="348">
        <v>2.5</v>
      </c>
    </row>
    <row r="7" spans="1:6" ht="21">
      <c r="A7" s="557" t="s">
        <v>450</v>
      </c>
      <c r="B7" s="558"/>
      <c r="C7" s="558"/>
      <c r="D7" s="558"/>
      <c r="E7" s="558"/>
      <c r="F7" s="558"/>
    </row>
  </sheetData>
  <mergeCells count="6">
    <mergeCell ref="A7:F7"/>
    <mergeCell ref="A1:F1"/>
    <mergeCell ref="A2:F2"/>
    <mergeCell ref="A3:A4"/>
    <mergeCell ref="B3:B4"/>
    <mergeCell ref="C3:E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8"/>
  <sheetViews>
    <sheetView showGridLines="0" workbookViewId="0"/>
  </sheetViews>
  <sheetFormatPr defaultColWidth="9.140625" defaultRowHeight="12.75"/>
  <cols>
    <col min="1" max="1" width="6.85546875" style="31" customWidth="1"/>
    <col min="2" max="2" width="21.42578125" style="30" customWidth="1"/>
    <col min="3" max="4" width="12" style="30" customWidth="1"/>
    <col min="5" max="5" width="14.85546875" style="30" customWidth="1"/>
    <col min="6" max="6" width="17.42578125" style="30" customWidth="1"/>
    <col min="7" max="7" width="11.42578125" style="30" bestFit="1" customWidth="1"/>
    <col min="8" max="8" width="10.5703125" style="30" bestFit="1" customWidth="1"/>
    <col min="9" max="9" width="12" style="30" customWidth="1"/>
    <col min="10" max="10" width="19.140625" style="30" customWidth="1"/>
    <col min="11" max="11" width="11.42578125" style="30" bestFit="1" customWidth="1"/>
    <col min="12" max="12" width="11.42578125" style="30" customWidth="1"/>
    <col min="13" max="13" width="16.7109375" style="30" customWidth="1"/>
    <col min="14" max="14" width="30.28515625" style="30" customWidth="1"/>
    <col min="15" max="16384" width="9.140625" style="30"/>
  </cols>
  <sheetData>
    <row r="1" spans="1:19" ht="17.25" customHeight="1">
      <c r="A1" s="58" t="s">
        <v>113</v>
      </c>
      <c r="K1" s="31"/>
      <c r="L1" s="31"/>
      <c r="M1" s="57"/>
      <c r="N1" s="57"/>
      <c r="O1" s="32"/>
      <c r="P1" s="32"/>
      <c r="Q1" s="31"/>
      <c r="S1" s="33"/>
    </row>
    <row r="2" spans="1:19" ht="17.25" customHeight="1">
      <c r="A2" s="426" t="s">
        <v>356</v>
      </c>
      <c r="B2" s="426"/>
      <c r="C2" s="426"/>
      <c r="D2" s="426"/>
      <c r="E2" s="426"/>
      <c r="F2" s="426"/>
      <c r="G2" s="426"/>
      <c r="K2" s="31"/>
      <c r="L2" s="31"/>
      <c r="M2" s="57"/>
      <c r="N2" s="57"/>
      <c r="O2" s="32"/>
      <c r="P2" s="32"/>
      <c r="Q2" s="31"/>
      <c r="S2" s="33"/>
    </row>
    <row r="3" spans="1:19" s="47" customFormat="1" ht="25.5" customHeight="1">
      <c r="A3" s="427" t="s">
        <v>0</v>
      </c>
      <c r="B3" s="427" t="s">
        <v>128</v>
      </c>
      <c r="C3" s="427" t="s">
        <v>104</v>
      </c>
      <c r="D3" s="427" t="s">
        <v>107</v>
      </c>
      <c r="E3" s="427" t="s">
        <v>110</v>
      </c>
      <c r="F3" s="427" t="s">
        <v>108</v>
      </c>
      <c r="G3" s="419" t="s">
        <v>136</v>
      </c>
      <c r="H3" s="419"/>
      <c r="I3" s="419"/>
      <c r="J3" s="406" t="s">
        <v>137</v>
      </c>
      <c r="K3" s="406"/>
      <c r="L3" s="406"/>
      <c r="M3" s="406"/>
      <c r="N3" s="406" t="s">
        <v>118</v>
      </c>
      <c r="O3" s="30"/>
      <c r="P3" s="30"/>
      <c r="Q3" s="30"/>
    </row>
    <row r="4" spans="1:19" s="47" customFormat="1" ht="60" customHeight="1">
      <c r="A4" s="428"/>
      <c r="B4" s="428"/>
      <c r="C4" s="428"/>
      <c r="D4" s="428"/>
      <c r="E4" s="428"/>
      <c r="F4" s="428"/>
      <c r="G4" s="26" t="s">
        <v>122</v>
      </c>
      <c r="H4" s="26" t="s">
        <v>123</v>
      </c>
      <c r="I4" s="26" t="s">
        <v>124</v>
      </c>
      <c r="J4" s="26" t="s">
        <v>115</v>
      </c>
      <c r="K4" s="26" t="s">
        <v>129</v>
      </c>
      <c r="L4" s="195" t="s">
        <v>354</v>
      </c>
      <c r="M4" s="26" t="s">
        <v>125</v>
      </c>
      <c r="N4" s="406"/>
    </row>
    <row r="5" spans="1:19">
      <c r="A5" s="45"/>
      <c r="B5" s="45"/>
      <c r="C5" s="45"/>
      <c r="D5" s="45"/>
      <c r="E5" s="45"/>
      <c r="F5" s="45"/>
      <c r="G5" s="45"/>
      <c r="H5" s="45"/>
      <c r="I5" s="45"/>
      <c r="J5" s="45" t="s">
        <v>14</v>
      </c>
      <c r="K5" s="45" t="s">
        <v>15</v>
      </c>
      <c r="L5" s="45" t="s">
        <v>16</v>
      </c>
      <c r="M5" s="45" t="s">
        <v>355</v>
      </c>
      <c r="N5" s="45"/>
    </row>
    <row r="6" spans="1:19" ht="63.75">
      <c r="A6" s="35">
        <v>1</v>
      </c>
      <c r="B6" s="64" t="s">
        <v>138</v>
      </c>
      <c r="C6" s="34"/>
      <c r="D6" s="48"/>
      <c r="E6" s="48"/>
      <c r="F6" s="48"/>
      <c r="G6" s="48"/>
      <c r="H6" s="48"/>
      <c r="I6" s="48"/>
      <c r="J6" s="48"/>
      <c r="K6" s="48"/>
      <c r="L6" s="48"/>
      <c r="M6" s="60"/>
      <c r="N6" s="48"/>
    </row>
    <row r="7" spans="1:19" ht="25.5" customHeight="1">
      <c r="A7" s="35">
        <v>1</v>
      </c>
      <c r="B7" s="64" t="s">
        <v>361</v>
      </c>
      <c r="C7" s="34"/>
      <c r="D7" s="48"/>
      <c r="E7" s="48"/>
      <c r="F7" s="48"/>
      <c r="G7" s="214"/>
      <c r="H7" s="214"/>
      <c r="I7" s="214"/>
      <c r="J7" s="215"/>
      <c r="K7" s="214"/>
      <c r="L7" s="48"/>
      <c r="M7" s="216"/>
      <c r="N7" s="429"/>
    </row>
    <row r="8" spans="1:19" ht="25.5" customHeight="1">
      <c r="A8" s="35">
        <v>2</v>
      </c>
      <c r="B8" s="63" t="s">
        <v>362</v>
      </c>
      <c r="C8" s="34"/>
      <c r="D8" s="48"/>
      <c r="E8" s="48"/>
      <c r="F8" s="48"/>
      <c r="G8" s="214"/>
      <c r="H8" s="214"/>
      <c r="I8" s="214"/>
      <c r="J8" s="215"/>
      <c r="K8" s="214"/>
      <c r="L8" s="48"/>
      <c r="M8" s="216"/>
      <c r="N8" s="430"/>
    </row>
    <row r="9" spans="1:19" ht="25.5" customHeight="1">
      <c r="A9" s="35">
        <v>3</v>
      </c>
      <c r="B9" s="63" t="s">
        <v>363</v>
      </c>
      <c r="C9" s="34"/>
      <c r="D9" s="48"/>
      <c r="E9" s="48"/>
      <c r="F9" s="48"/>
      <c r="G9" s="214"/>
      <c r="H9" s="214"/>
      <c r="I9" s="214"/>
      <c r="J9" s="215"/>
      <c r="K9" s="214"/>
      <c r="L9" s="48"/>
      <c r="M9" s="216"/>
      <c r="N9" s="430"/>
    </row>
    <row r="10" spans="1:19" ht="25.5" customHeight="1">
      <c r="A10" s="35">
        <v>4</v>
      </c>
      <c r="B10" s="64" t="s">
        <v>364</v>
      </c>
      <c r="C10" s="38"/>
      <c r="D10" s="48"/>
      <c r="E10" s="48"/>
      <c r="F10" s="48"/>
      <c r="G10" s="214"/>
      <c r="H10" s="214"/>
      <c r="I10" s="214"/>
      <c r="J10" s="215"/>
      <c r="K10" s="214"/>
      <c r="L10" s="48"/>
      <c r="M10" s="216"/>
      <c r="N10" s="431"/>
    </row>
    <row r="11" spans="1:19" ht="21.75" customHeight="1">
      <c r="A11" s="35">
        <v>5</v>
      </c>
      <c r="B11" s="65" t="s">
        <v>365</v>
      </c>
      <c r="C11" s="50"/>
      <c r="D11" s="48"/>
      <c r="E11" s="48"/>
      <c r="F11" s="48"/>
      <c r="G11" s="214"/>
      <c r="H11" s="214"/>
      <c r="I11" s="214"/>
      <c r="J11" s="215"/>
      <c r="K11" s="214"/>
      <c r="L11" s="48"/>
      <c r="M11" s="216"/>
      <c r="N11" s="429"/>
    </row>
    <row r="12" spans="1:19" ht="21.75" customHeight="1">
      <c r="A12" s="35">
        <v>6</v>
      </c>
      <c r="B12" s="65" t="s">
        <v>366</v>
      </c>
      <c r="C12" s="50"/>
      <c r="D12" s="48"/>
      <c r="E12" s="48"/>
      <c r="F12" s="48"/>
      <c r="G12" s="214"/>
      <c r="H12" s="214"/>
      <c r="I12" s="214"/>
      <c r="J12" s="215"/>
      <c r="K12" s="214"/>
      <c r="L12" s="48"/>
      <c r="M12" s="216"/>
      <c r="N12" s="430"/>
    </row>
    <row r="13" spans="1:19" ht="21.75" customHeight="1">
      <c r="A13" s="35">
        <v>7</v>
      </c>
      <c r="B13" s="65" t="s">
        <v>367</v>
      </c>
      <c r="C13" s="50"/>
      <c r="D13" s="48"/>
      <c r="E13" s="48"/>
      <c r="F13" s="48"/>
      <c r="G13" s="214"/>
      <c r="H13" s="214"/>
      <c r="I13" s="214"/>
      <c r="J13" s="215"/>
      <c r="K13" s="214"/>
      <c r="L13" s="48"/>
      <c r="M13" s="216"/>
      <c r="N13" s="430"/>
    </row>
    <row r="14" spans="1:19" ht="54.75" customHeight="1">
      <c r="A14" s="35">
        <v>8</v>
      </c>
      <c r="B14" s="64" t="s">
        <v>368</v>
      </c>
      <c r="C14" s="48"/>
      <c r="D14" s="48"/>
      <c r="E14" s="48"/>
      <c r="F14" s="48"/>
      <c r="G14" s="214"/>
      <c r="H14" s="214"/>
      <c r="I14" s="214"/>
      <c r="J14" s="215"/>
      <c r="K14" s="214"/>
      <c r="L14" s="48"/>
      <c r="M14" s="216"/>
      <c r="N14" s="431"/>
    </row>
    <row r="15" spans="1:19" ht="103.5" customHeight="1">
      <c r="A15" s="35">
        <v>9</v>
      </c>
      <c r="B15" s="64" t="s">
        <v>369</v>
      </c>
      <c r="C15" s="48"/>
      <c r="D15" s="48"/>
      <c r="E15" s="48"/>
      <c r="F15" s="48"/>
      <c r="G15" s="214"/>
      <c r="H15" s="214"/>
      <c r="I15" s="214"/>
      <c r="J15" s="215"/>
      <c r="K15" s="214"/>
      <c r="L15" s="48"/>
      <c r="M15" s="216"/>
      <c r="N15" s="38"/>
    </row>
    <row r="16" spans="1:19">
      <c r="A16" s="35">
        <v>10</v>
      </c>
      <c r="B16" s="64" t="s">
        <v>390</v>
      </c>
      <c r="C16" s="48"/>
      <c r="D16" s="48"/>
      <c r="E16" s="38"/>
      <c r="F16" s="48"/>
      <c r="G16" s="214"/>
      <c r="H16" s="214"/>
      <c r="I16" s="214"/>
      <c r="J16" s="256"/>
      <c r="K16" s="214"/>
      <c r="L16" s="48"/>
      <c r="M16" s="216"/>
      <c r="N16" s="38"/>
    </row>
    <row r="17" spans="1:14">
      <c r="A17" s="425" t="s">
        <v>86</v>
      </c>
      <c r="B17" s="425"/>
      <c r="C17" s="60">
        <f>SUM(C7:C16)</f>
        <v>0</v>
      </c>
      <c r="D17" s="60">
        <f>SUM(D7:D15)</f>
        <v>0</v>
      </c>
      <c r="E17" s="51"/>
      <c r="F17" s="60">
        <f>SUM(F7:F16)</f>
        <v>0</v>
      </c>
      <c r="G17" s="60">
        <f>SUM(G7:G16)</f>
        <v>0</v>
      </c>
      <c r="H17" s="60">
        <f>SUM(H7:H15)</f>
        <v>0</v>
      </c>
      <c r="I17" s="60">
        <f>SUM(I7:I16)</f>
        <v>0</v>
      </c>
      <c r="J17" s="60">
        <f>SUM(J7:J15)</f>
        <v>0</v>
      </c>
      <c r="K17" s="51"/>
      <c r="L17" s="51"/>
      <c r="M17" s="216">
        <f>SUM(M7:M15)</f>
        <v>0</v>
      </c>
      <c r="N17" s="51"/>
    </row>
    <row r="18" spans="1:14">
      <c r="A18" s="49" t="s">
        <v>117</v>
      </c>
    </row>
  </sheetData>
  <mergeCells count="13">
    <mergeCell ref="A17:B17"/>
    <mergeCell ref="A2:G2"/>
    <mergeCell ref="N3:N4"/>
    <mergeCell ref="D3:D4"/>
    <mergeCell ref="F3:F4"/>
    <mergeCell ref="G3:I3"/>
    <mergeCell ref="A3:A4"/>
    <mergeCell ref="B3:B4"/>
    <mergeCell ref="C3:C4"/>
    <mergeCell ref="E3:E4"/>
    <mergeCell ref="J3:M3"/>
    <mergeCell ref="N7:N10"/>
    <mergeCell ref="N11:N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8"/>
  <sheetViews>
    <sheetView workbookViewId="0">
      <selection activeCell="A4" sqref="A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c r="A3" s="401">
        <v>2</v>
      </c>
      <c r="B3" s="401"/>
      <c r="C3" s="16" t="s">
        <v>139</v>
      </c>
      <c r="D3" s="17"/>
      <c r="E3" s="18"/>
    </row>
    <row r="4" spans="1:5" ht="60" customHeight="1">
      <c r="A4" s="66"/>
      <c r="B4" s="19" t="s">
        <v>14</v>
      </c>
      <c r="C4" s="23" t="s">
        <v>140</v>
      </c>
      <c r="D4" s="21"/>
      <c r="E4" s="21" t="s">
        <v>141</v>
      </c>
    </row>
    <row r="5" spans="1:5" ht="45.75" customHeight="1">
      <c r="A5" s="66"/>
      <c r="B5" s="19" t="s">
        <v>15</v>
      </c>
      <c r="C5" s="23" t="s">
        <v>142</v>
      </c>
      <c r="D5" s="21"/>
      <c r="E5" s="21" t="s">
        <v>143</v>
      </c>
    </row>
    <row r="6" spans="1:5" ht="109.5" customHeight="1">
      <c r="A6" s="66"/>
      <c r="B6" s="19" t="s">
        <v>16</v>
      </c>
      <c r="C6" s="18" t="s">
        <v>144</v>
      </c>
      <c r="D6" s="432" t="s">
        <v>145</v>
      </c>
      <c r="E6" s="434" t="s">
        <v>146</v>
      </c>
    </row>
    <row r="7" spans="1:5" ht="54" customHeight="1">
      <c r="A7" s="66"/>
      <c r="B7" s="19" t="s">
        <v>147</v>
      </c>
      <c r="C7" s="18" t="s">
        <v>148</v>
      </c>
      <c r="D7" s="433"/>
      <c r="E7" s="435"/>
    </row>
    <row r="8" spans="1:5" ht="111" customHeight="1">
      <c r="A8" s="66"/>
      <c r="B8" s="19" t="s">
        <v>149</v>
      </c>
      <c r="C8" s="23" t="s">
        <v>150</v>
      </c>
      <c r="D8" s="21" t="s">
        <v>151</v>
      </c>
      <c r="E8" s="21" t="s">
        <v>152</v>
      </c>
    </row>
  </sheetData>
  <mergeCells count="5">
    <mergeCell ref="A1:D1"/>
    <mergeCell ref="A2:B2"/>
    <mergeCell ref="A3:B3"/>
    <mergeCell ref="D6:D7"/>
    <mergeCell ref="E6:E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38"/>
  <sheetViews>
    <sheetView showGridLines="0" workbookViewId="0">
      <selection activeCell="L15" sqref="L15"/>
    </sheetView>
  </sheetViews>
  <sheetFormatPr defaultColWidth="9.140625" defaultRowHeight="12.75"/>
  <cols>
    <col min="1" max="1" width="10.85546875" style="31" customWidth="1"/>
    <col min="2" max="2" width="10.85546875" style="31" hidden="1" customWidth="1"/>
    <col min="3" max="3" width="24" style="30" customWidth="1"/>
    <col min="4" max="4" width="17.42578125" style="30" hidden="1" customWidth="1"/>
    <col min="5" max="5" width="10.28515625" style="30" customWidth="1"/>
    <col min="6" max="6" width="7.85546875" style="30" bestFit="1" customWidth="1"/>
    <col min="7" max="7" width="8" style="30" bestFit="1" customWidth="1"/>
    <col min="8" max="8" width="13.7109375" style="30" customWidth="1"/>
    <col min="9" max="9" width="9.7109375" style="30" customWidth="1"/>
    <col min="10" max="10" width="7.85546875" style="30" bestFit="1" customWidth="1"/>
    <col min="11" max="11" width="8" style="30" bestFit="1" customWidth="1"/>
    <col min="12" max="12" width="10.7109375" style="30" customWidth="1"/>
    <col min="13" max="15" width="12" style="30" customWidth="1"/>
    <col min="16" max="16" width="10.42578125" style="30" customWidth="1"/>
    <col min="17" max="17" width="9.42578125" style="30" customWidth="1"/>
    <col min="18" max="18" width="8.5703125" style="30" customWidth="1"/>
    <col min="19" max="19" width="8.85546875" style="30" customWidth="1"/>
    <col min="20" max="20" width="10.5703125" style="30" customWidth="1"/>
    <col min="21" max="22" width="9.140625" style="30"/>
    <col min="23" max="23" width="12" style="30" customWidth="1"/>
    <col min="24" max="24" width="11.7109375" style="30" customWidth="1"/>
    <col min="25" max="27" width="9.140625" style="30"/>
    <col min="28" max="29" width="18.28515625" style="30" customWidth="1"/>
    <col min="30" max="30" width="44.28515625" style="30" customWidth="1"/>
    <col min="31" max="16384" width="9.140625" style="30"/>
  </cols>
  <sheetData>
    <row r="1" spans="1:37" ht="17.25" customHeight="1">
      <c r="A1" s="67" t="s">
        <v>422</v>
      </c>
      <c r="B1" s="68"/>
      <c r="C1" s="69"/>
      <c r="D1" s="69"/>
      <c r="E1" s="69"/>
      <c r="F1" s="69"/>
      <c r="G1" s="69"/>
      <c r="H1" s="69"/>
      <c r="I1" s="69"/>
      <c r="J1" s="69"/>
      <c r="K1" s="69"/>
      <c r="L1" s="69"/>
      <c r="M1" s="69"/>
      <c r="N1" s="69"/>
      <c r="O1" s="69"/>
      <c r="P1" s="69"/>
      <c r="Q1" s="69"/>
      <c r="R1" s="69"/>
      <c r="S1" s="69"/>
      <c r="T1" s="70"/>
      <c r="U1" s="71"/>
      <c r="V1" s="71"/>
      <c r="W1" s="69"/>
      <c r="X1" s="69"/>
      <c r="Y1" s="69"/>
      <c r="Z1" s="69"/>
      <c r="AA1" s="69"/>
      <c r="AB1" s="69"/>
      <c r="AC1" s="72"/>
      <c r="AD1" s="72"/>
    </row>
    <row r="2" spans="1:37" ht="17.25" customHeight="1">
      <c r="A2" s="426" t="s">
        <v>357</v>
      </c>
      <c r="B2" s="426"/>
      <c r="C2" s="426"/>
      <c r="D2" s="426"/>
      <c r="E2" s="426"/>
      <c r="F2" s="426"/>
      <c r="G2" s="426"/>
      <c r="H2" s="426"/>
      <c r="I2" s="426"/>
      <c r="J2" s="426"/>
      <c r="K2" s="69"/>
      <c r="L2" s="69"/>
      <c r="M2" s="69"/>
      <c r="N2" s="69"/>
      <c r="O2" s="69"/>
      <c r="P2" s="69"/>
      <c r="Q2" s="69"/>
      <c r="R2" s="69"/>
      <c r="S2" s="69"/>
      <c r="T2" s="70"/>
      <c r="U2" s="71"/>
      <c r="V2" s="71"/>
      <c r="W2" s="69"/>
      <c r="X2" s="69"/>
      <c r="Y2" s="69"/>
      <c r="Z2" s="69"/>
      <c r="AA2" s="69"/>
      <c r="AB2" s="69"/>
      <c r="AC2" s="72"/>
      <c r="AD2" s="72"/>
    </row>
    <row r="3" spans="1:37" s="74" customFormat="1" ht="31.5" customHeight="1">
      <c r="A3" s="427" t="s">
        <v>0</v>
      </c>
      <c r="B3" s="427" t="s">
        <v>153</v>
      </c>
      <c r="C3" s="427" t="s">
        <v>154</v>
      </c>
      <c r="D3" s="427" t="s">
        <v>155</v>
      </c>
      <c r="E3" s="453" t="s">
        <v>136</v>
      </c>
      <c r="F3" s="454"/>
      <c r="G3" s="454"/>
      <c r="H3" s="454"/>
      <c r="I3" s="454"/>
      <c r="J3" s="454"/>
      <c r="K3" s="454"/>
      <c r="L3" s="454"/>
      <c r="M3" s="455"/>
      <c r="N3" s="455"/>
      <c r="O3" s="456"/>
      <c r="P3" s="457" t="s">
        <v>423</v>
      </c>
      <c r="Q3" s="455"/>
      <c r="R3" s="455"/>
      <c r="S3" s="455"/>
      <c r="T3" s="455"/>
      <c r="U3" s="455"/>
      <c r="V3" s="455"/>
      <c r="W3" s="455"/>
      <c r="X3" s="455"/>
      <c r="Y3" s="455"/>
      <c r="Z3" s="455"/>
      <c r="AA3" s="455"/>
      <c r="AB3" s="455"/>
      <c r="AC3" s="456"/>
      <c r="AD3" s="441" t="s">
        <v>118</v>
      </c>
      <c r="AE3" s="73"/>
      <c r="AF3" s="73"/>
      <c r="AG3" s="73"/>
      <c r="AH3" s="73"/>
      <c r="AI3" s="73"/>
      <c r="AJ3" s="73"/>
      <c r="AK3" s="73"/>
    </row>
    <row r="4" spans="1:37" s="74" customFormat="1" ht="31.5" customHeight="1">
      <c r="A4" s="471"/>
      <c r="B4" s="471"/>
      <c r="C4" s="471"/>
      <c r="D4" s="472"/>
      <c r="E4" s="444" t="s">
        <v>156</v>
      </c>
      <c r="F4" s="444"/>
      <c r="G4" s="444"/>
      <c r="H4" s="444"/>
      <c r="I4" s="444" t="s">
        <v>157</v>
      </c>
      <c r="J4" s="444"/>
      <c r="K4" s="444"/>
      <c r="L4" s="444"/>
      <c r="M4" s="445" t="s">
        <v>122</v>
      </c>
      <c r="N4" s="448" t="s">
        <v>123</v>
      </c>
      <c r="O4" s="448" t="s">
        <v>124</v>
      </c>
      <c r="P4" s="451" t="s">
        <v>158</v>
      </c>
      <c r="Q4" s="451"/>
      <c r="R4" s="451"/>
      <c r="S4" s="451"/>
      <c r="T4" s="444" t="s">
        <v>159</v>
      </c>
      <c r="U4" s="444"/>
      <c r="V4" s="444"/>
      <c r="W4" s="444"/>
      <c r="X4" s="444"/>
      <c r="Y4" s="444"/>
      <c r="Z4" s="444"/>
      <c r="AA4" s="444"/>
      <c r="AB4" s="452" t="s">
        <v>424</v>
      </c>
      <c r="AC4" s="452" t="s">
        <v>425</v>
      </c>
      <c r="AD4" s="442"/>
      <c r="AE4" s="73"/>
      <c r="AF4" s="73"/>
      <c r="AG4" s="73"/>
      <c r="AH4" s="73"/>
      <c r="AI4" s="73"/>
      <c r="AJ4" s="73"/>
      <c r="AK4" s="73"/>
    </row>
    <row r="5" spans="1:37" s="73" customFormat="1" ht="29.25" customHeight="1">
      <c r="A5" s="471"/>
      <c r="B5" s="471"/>
      <c r="C5" s="471"/>
      <c r="D5" s="472"/>
      <c r="E5" s="436" t="s">
        <v>160</v>
      </c>
      <c r="F5" s="436" t="s">
        <v>161</v>
      </c>
      <c r="G5" s="436" t="s">
        <v>162</v>
      </c>
      <c r="H5" s="436" t="s">
        <v>163</v>
      </c>
      <c r="I5" s="436" t="s">
        <v>160</v>
      </c>
      <c r="J5" s="436" t="s">
        <v>161</v>
      </c>
      <c r="K5" s="436" t="s">
        <v>162</v>
      </c>
      <c r="L5" s="436" t="s">
        <v>163</v>
      </c>
      <c r="M5" s="446"/>
      <c r="N5" s="449"/>
      <c r="O5" s="449"/>
      <c r="P5" s="458" t="s">
        <v>164</v>
      </c>
      <c r="Q5" s="458" t="s">
        <v>165</v>
      </c>
      <c r="R5" s="458" t="s">
        <v>166</v>
      </c>
      <c r="S5" s="458" t="s">
        <v>163</v>
      </c>
      <c r="T5" s="436" t="s">
        <v>167</v>
      </c>
      <c r="U5" s="436"/>
      <c r="V5" s="436"/>
      <c r="W5" s="436"/>
      <c r="X5" s="436" t="s">
        <v>168</v>
      </c>
      <c r="Y5" s="436"/>
      <c r="Z5" s="436"/>
      <c r="AA5" s="436"/>
      <c r="AB5" s="452"/>
      <c r="AC5" s="452"/>
      <c r="AD5" s="442"/>
    </row>
    <row r="6" spans="1:37" s="74" customFormat="1" ht="45.75" customHeight="1">
      <c r="A6" s="428"/>
      <c r="B6" s="428"/>
      <c r="C6" s="428"/>
      <c r="D6" s="473"/>
      <c r="E6" s="436"/>
      <c r="F6" s="436"/>
      <c r="G6" s="436"/>
      <c r="H6" s="436"/>
      <c r="I6" s="436"/>
      <c r="J6" s="436"/>
      <c r="K6" s="436"/>
      <c r="L6" s="436"/>
      <c r="M6" s="447"/>
      <c r="N6" s="450"/>
      <c r="O6" s="450"/>
      <c r="P6" s="458"/>
      <c r="Q6" s="458"/>
      <c r="R6" s="458"/>
      <c r="S6" s="458"/>
      <c r="T6" s="75" t="s">
        <v>160</v>
      </c>
      <c r="U6" s="75" t="s">
        <v>161</v>
      </c>
      <c r="V6" s="75" t="s">
        <v>169</v>
      </c>
      <c r="W6" s="75" t="s">
        <v>392</v>
      </c>
      <c r="X6" s="75" t="s">
        <v>160</v>
      </c>
      <c r="Y6" s="75" t="s">
        <v>161</v>
      </c>
      <c r="Z6" s="75" t="s">
        <v>169</v>
      </c>
      <c r="AA6" s="75" t="s">
        <v>163</v>
      </c>
      <c r="AB6" s="452"/>
      <c r="AC6" s="452"/>
      <c r="AD6" s="443"/>
    </row>
    <row r="7" spans="1:37" ht="12.75" customHeight="1">
      <c r="A7" s="76"/>
      <c r="B7" s="76"/>
      <c r="C7" s="76"/>
      <c r="D7" s="76"/>
      <c r="E7" s="77"/>
      <c r="F7" s="77"/>
      <c r="G7" s="77"/>
      <c r="H7" s="77"/>
      <c r="I7" s="77"/>
      <c r="J7" s="77"/>
      <c r="K7" s="77"/>
      <c r="L7" s="77"/>
      <c r="M7" s="76"/>
      <c r="N7" s="76"/>
      <c r="O7" s="76"/>
      <c r="P7" s="76"/>
      <c r="Q7" s="76"/>
      <c r="R7" s="76"/>
      <c r="S7" s="76"/>
      <c r="T7" s="76" t="s">
        <v>14</v>
      </c>
      <c r="U7" s="76" t="s">
        <v>15</v>
      </c>
      <c r="V7" s="76" t="s">
        <v>16</v>
      </c>
      <c r="W7" s="76" t="s">
        <v>147</v>
      </c>
      <c r="X7" s="76" t="s">
        <v>149</v>
      </c>
      <c r="Y7" s="76" t="s">
        <v>170</v>
      </c>
      <c r="Z7" s="76" t="s">
        <v>171</v>
      </c>
      <c r="AA7" s="76" t="s">
        <v>172</v>
      </c>
      <c r="AB7" s="76" t="s">
        <v>173</v>
      </c>
      <c r="AC7" s="76" t="s">
        <v>174</v>
      </c>
      <c r="AD7" s="76"/>
    </row>
    <row r="8" spans="1:37">
      <c r="A8" s="78" t="s">
        <v>175</v>
      </c>
      <c r="B8" s="79"/>
      <c r="C8" s="79"/>
      <c r="D8" s="80"/>
      <c r="E8" s="80"/>
      <c r="F8" s="80"/>
      <c r="G8" s="80"/>
      <c r="H8" s="80"/>
      <c r="I8" s="80"/>
      <c r="J8" s="80"/>
      <c r="K8" s="80"/>
      <c r="L8" s="80"/>
      <c r="M8" s="80"/>
      <c r="N8" s="80"/>
      <c r="O8" s="80"/>
      <c r="P8" s="80"/>
      <c r="Q8" s="80"/>
      <c r="R8" s="80"/>
      <c r="S8" s="80"/>
      <c r="T8" s="80"/>
      <c r="U8" s="80"/>
      <c r="V8" s="80"/>
      <c r="W8" s="80"/>
      <c r="X8" s="80"/>
      <c r="Y8" s="80"/>
      <c r="Z8" s="80"/>
      <c r="AA8" s="80"/>
      <c r="AB8" s="80"/>
      <c r="AC8" s="80"/>
      <c r="AD8" s="80"/>
    </row>
    <row r="9" spans="1:37" s="2" customFormat="1" ht="19.5" customHeight="1" thickBot="1">
      <c r="A9" s="255">
        <v>1</v>
      </c>
      <c r="B9" s="370"/>
      <c r="C9" s="257" t="s">
        <v>176</v>
      </c>
      <c r="D9" s="217" t="s">
        <v>177</v>
      </c>
      <c r="E9" s="218"/>
      <c r="F9" s="219"/>
      <c r="G9" s="218"/>
      <c r="H9" s="218"/>
      <c r="I9" s="218"/>
      <c r="J9" s="219"/>
      <c r="K9" s="218"/>
      <c r="L9" s="218"/>
      <c r="M9" s="207"/>
      <c r="N9" s="220"/>
      <c r="O9" s="220"/>
      <c r="P9" s="218">
        <v>0</v>
      </c>
      <c r="Q9" s="218">
        <v>3</v>
      </c>
      <c r="R9" s="218">
        <v>0</v>
      </c>
      <c r="S9" s="217">
        <v>0</v>
      </c>
      <c r="T9" s="218">
        <v>0</v>
      </c>
      <c r="U9" s="218">
        <v>1.5</v>
      </c>
      <c r="V9" s="218">
        <v>0</v>
      </c>
      <c r="W9" s="364">
        <v>0</v>
      </c>
      <c r="X9" s="217">
        <f>10000*5/100000</f>
        <v>0.5</v>
      </c>
      <c r="Y9" s="326">
        <v>0</v>
      </c>
      <c r="Z9" s="309">
        <v>0.5</v>
      </c>
      <c r="AA9" s="326">
        <v>0</v>
      </c>
      <c r="AB9" s="312">
        <f>SUM(T9:W9)</f>
        <v>1.5</v>
      </c>
      <c r="AC9" s="312">
        <f>X9+Y9+Z9+AA9</f>
        <v>1</v>
      </c>
      <c r="AD9" s="437" t="s">
        <v>426</v>
      </c>
    </row>
    <row r="10" spans="1:37" customFormat="1" ht="18.75" customHeight="1" thickBot="1">
      <c r="A10" s="465">
        <v>2</v>
      </c>
      <c r="B10" s="370"/>
      <c r="C10" s="258" t="s">
        <v>391</v>
      </c>
      <c r="D10" s="81" t="s">
        <v>177</v>
      </c>
      <c r="E10" s="219"/>
      <c r="F10" s="219"/>
      <c r="G10" s="219"/>
      <c r="H10" s="219"/>
      <c r="I10" s="219"/>
      <c r="J10" s="219"/>
      <c r="K10" s="219"/>
      <c r="L10" s="219"/>
      <c r="M10" s="207"/>
      <c r="N10" s="219"/>
      <c r="O10" s="220"/>
      <c r="P10" s="219"/>
      <c r="Q10" s="219"/>
      <c r="R10" s="219"/>
      <c r="S10" s="217"/>
      <c r="T10" s="219"/>
      <c r="U10" s="219"/>
      <c r="V10" s="219"/>
      <c r="W10" s="221"/>
      <c r="X10" s="219"/>
      <c r="Y10" s="327"/>
      <c r="Z10" s="310"/>
      <c r="AA10" s="327"/>
      <c r="AB10" s="312"/>
      <c r="AC10" s="312">
        <f t="shared" ref="AC10:AC19" si="0">X10+Y10+Z10+AA10</f>
        <v>0</v>
      </c>
      <c r="AD10" s="437"/>
    </row>
    <row r="11" spans="1:37" ht="12.75" customHeight="1" thickBot="1">
      <c r="A11" s="466"/>
      <c r="B11" s="340"/>
      <c r="C11" s="64" t="s">
        <v>361</v>
      </c>
      <c r="D11" s="64" t="s">
        <v>361</v>
      </c>
      <c r="E11" s="340"/>
      <c r="F11" s="340"/>
      <c r="G11" s="340"/>
      <c r="H11" s="340"/>
      <c r="I11" s="340"/>
      <c r="J11" s="340"/>
      <c r="K11" s="340"/>
      <c r="L11" s="340"/>
      <c r="M11" s="207"/>
      <c r="N11" s="219"/>
      <c r="O11" s="220"/>
      <c r="P11" s="340">
        <v>0</v>
      </c>
      <c r="Q11" s="340">
        <v>1</v>
      </c>
      <c r="R11" s="340">
        <v>0</v>
      </c>
      <c r="S11" s="217">
        <v>0</v>
      </c>
      <c r="T11" s="340">
        <v>0</v>
      </c>
      <c r="U11" s="340">
        <v>0.5</v>
      </c>
      <c r="V11" s="340">
        <v>0</v>
      </c>
      <c r="W11" s="340">
        <v>0</v>
      </c>
      <c r="X11" s="311">
        <v>0.1</v>
      </c>
      <c r="Y11" s="328">
        <v>0</v>
      </c>
      <c r="Z11" s="311">
        <v>0.1</v>
      </c>
      <c r="AA11" s="328">
        <v>0</v>
      </c>
      <c r="AB11" s="190">
        <f t="shared" ref="AB11:AB19" si="1">T11+U11+V11+W11</f>
        <v>0.5</v>
      </c>
      <c r="AC11" s="312">
        <f>X11+Y11+Z11+AA11</f>
        <v>0.2</v>
      </c>
      <c r="AD11" s="437"/>
    </row>
    <row r="12" spans="1:37" ht="12.75" customHeight="1" thickBot="1">
      <c r="A12" s="466"/>
      <c r="B12" s="340"/>
      <c r="C12" s="63" t="s">
        <v>362</v>
      </c>
      <c r="D12" s="63" t="s">
        <v>362</v>
      </c>
      <c r="E12" s="340"/>
      <c r="F12" s="340"/>
      <c r="G12" s="340"/>
      <c r="H12" s="340"/>
      <c r="I12" s="340"/>
      <c r="J12" s="340"/>
      <c r="K12" s="340"/>
      <c r="L12" s="340"/>
      <c r="M12" s="207"/>
      <c r="N12" s="219"/>
      <c r="O12" s="220"/>
      <c r="P12" s="340">
        <v>0</v>
      </c>
      <c r="Q12" s="340">
        <v>1</v>
      </c>
      <c r="R12" s="340">
        <v>0</v>
      </c>
      <c r="S12" s="217">
        <v>0</v>
      </c>
      <c r="T12" s="340">
        <v>0</v>
      </c>
      <c r="U12" s="340">
        <v>0.5</v>
      </c>
      <c r="V12" s="340">
        <v>0</v>
      </c>
      <c r="W12" s="340">
        <v>0</v>
      </c>
      <c r="X12" s="311">
        <v>0.1</v>
      </c>
      <c r="Y12" s="328">
        <v>0</v>
      </c>
      <c r="Z12" s="311">
        <v>0.1</v>
      </c>
      <c r="AA12" s="328">
        <v>0</v>
      </c>
      <c r="AB12" s="190">
        <f t="shared" si="1"/>
        <v>0.5</v>
      </c>
      <c r="AC12" s="312">
        <f t="shared" si="0"/>
        <v>0.2</v>
      </c>
      <c r="AD12" s="437"/>
    </row>
    <row r="13" spans="1:37" ht="12.75" customHeight="1" thickBot="1">
      <c r="A13" s="466"/>
      <c r="B13" s="340"/>
      <c r="C13" s="63" t="s">
        <v>363</v>
      </c>
      <c r="D13" s="63" t="s">
        <v>363</v>
      </c>
      <c r="E13" s="340"/>
      <c r="F13" s="340"/>
      <c r="G13" s="340"/>
      <c r="H13" s="340"/>
      <c r="I13" s="340"/>
      <c r="J13" s="340"/>
      <c r="K13" s="340"/>
      <c r="L13" s="340"/>
      <c r="M13" s="207"/>
      <c r="N13" s="219"/>
      <c r="O13" s="220"/>
      <c r="P13" s="340">
        <v>0</v>
      </c>
      <c r="Q13" s="340">
        <v>1</v>
      </c>
      <c r="R13" s="340">
        <v>0</v>
      </c>
      <c r="S13" s="217">
        <v>0</v>
      </c>
      <c r="T13" s="340">
        <v>0</v>
      </c>
      <c r="U13" s="340">
        <v>0.5</v>
      </c>
      <c r="V13" s="340">
        <v>0</v>
      </c>
      <c r="W13" s="340">
        <v>0</v>
      </c>
      <c r="X13" s="311">
        <v>0.1</v>
      </c>
      <c r="Y13" s="328">
        <v>0</v>
      </c>
      <c r="Z13" s="311">
        <v>0.1</v>
      </c>
      <c r="AA13" s="328">
        <v>0</v>
      </c>
      <c r="AB13" s="190">
        <f t="shared" si="1"/>
        <v>0.5</v>
      </c>
      <c r="AC13" s="312">
        <f t="shared" si="0"/>
        <v>0.2</v>
      </c>
      <c r="AD13" s="437"/>
    </row>
    <row r="14" spans="1:37" ht="12.75" customHeight="1" thickBot="1">
      <c r="A14" s="466"/>
      <c r="B14" s="340"/>
      <c r="C14" s="64" t="s">
        <v>364</v>
      </c>
      <c r="D14" s="64" t="s">
        <v>364</v>
      </c>
      <c r="E14" s="340"/>
      <c r="F14" s="340"/>
      <c r="G14" s="340"/>
      <c r="H14" s="340"/>
      <c r="I14" s="340"/>
      <c r="J14" s="340"/>
      <c r="K14" s="340"/>
      <c r="L14" s="340"/>
      <c r="M14" s="207"/>
      <c r="N14" s="219"/>
      <c r="O14" s="220"/>
      <c r="P14" s="340">
        <v>0</v>
      </c>
      <c r="Q14" s="340">
        <v>1</v>
      </c>
      <c r="R14" s="340">
        <v>0</v>
      </c>
      <c r="S14" s="217">
        <v>0</v>
      </c>
      <c r="T14" s="340">
        <v>0</v>
      </c>
      <c r="U14" s="340">
        <v>0.5</v>
      </c>
      <c r="V14" s="340">
        <v>0</v>
      </c>
      <c r="W14" s="340">
        <v>0</v>
      </c>
      <c r="X14" s="311">
        <v>0.1</v>
      </c>
      <c r="Y14" s="328">
        <v>0</v>
      </c>
      <c r="Z14" s="311">
        <v>0.1</v>
      </c>
      <c r="AA14" s="328">
        <v>0</v>
      </c>
      <c r="AB14" s="190">
        <f t="shared" si="1"/>
        <v>0.5</v>
      </c>
      <c r="AC14" s="312">
        <f t="shared" si="0"/>
        <v>0.2</v>
      </c>
      <c r="AD14" s="437"/>
    </row>
    <row r="15" spans="1:37" ht="12.75" customHeight="1" thickBot="1">
      <c r="A15" s="466"/>
      <c r="B15" s="340"/>
      <c r="C15" s="63" t="s">
        <v>365</v>
      </c>
      <c r="D15" s="63" t="s">
        <v>365</v>
      </c>
      <c r="E15" s="340"/>
      <c r="F15" s="340"/>
      <c r="G15" s="340"/>
      <c r="H15" s="340"/>
      <c r="I15" s="340"/>
      <c r="J15" s="340"/>
      <c r="K15" s="340"/>
      <c r="L15" s="340"/>
      <c r="M15" s="207"/>
      <c r="N15" s="219"/>
      <c r="O15" s="220"/>
      <c r="P15" s="340">
        <v>0</v>
      </c>
      <c r="Q15" s="340">
        <v>1</v>
      </c>
      <c r="R15" s="340">
        <v>0</v>
      </c>
      <c r="S15" s="217">
        <v>0</v>
      </c>
      <c r="T15" s="340">
        <v>0</v>
      </c>
      <c r="U15" s="340">
        <v>0.5</v>
      </c>
      <c r="V15" s="340">
        <v>0</v>
      </c>
      <c r="W15" s="340">
        <v>0</v>
      </c>
      <c r="X15" s="311">
        <v>0.1</v>
      </c>
      <c r="Y15" s="328">
        <v>0</v>
      </c>
      <c r="Z15" s="311">
        <v>0.1</v>
      </c>
      <c r="AA15" s="328">
        <v>0</v>
      </c>
      <c r="AB15" s="190">
        <f t="shared" si="1"/>
        <v>0.5</v>
      </c>
      <c r="AC15" s="312">
        <f t="shared" si="0"/>
        <v>0.2</v>
      </c>
      <c r="AD15" s="437"/>
    </row>
    <row r="16" spans="1:37" ht="12.75" customHeight="1" thickBot="1">
      <c r="A16" s="466"/>
      <c r="B16" s="340"/>
      <c r="C16" s="63" t="s">
        <v>366</v>
      </c>
      <c r="D16" s="63" t="s">
        <v>366</v>
      </c>
      <c r="E16" s="340"/>
      <c r="F16" s="340"/>
      <c r="G16" s="340"/>
      <c r="H16" s="340"/>
      <c r="I16" s="340"/>
      <c r="J16" s="340"/>
      <c r="K16" s="340"/>
      <c r="L16" s="340"/>
      <c r="M16" s="207"/>
      <c r="N16" s="219"/>
      <c r="O16" s="220"/>
      <c r="P16" s="340">
        <v>1</v>
      </c>
      <c r="Q16" s="340">
        <v>1</v>
      </c>
      <c r="R16" s="340">
        <v>0</v>
      </c>
      <c r="S16" s="217">
        <v>0</v>
      </c>
      <c r="T16" s="340">
        <v>0.5</v>
      </c>
      <c r="U16" s="340">
        <v>0.5</v>
      </c>
      <c r="V16" s="340">
        <v>0</v>
      </c>
      <c r="W16" s="340">
        <v>0</v>
      </c>
      <c r="X16" s="311">
        <v>0.1</v>
      </c>
      <c r="Y16" s="328">
        <v>0</v>
      </c>
      <c r="Z16" s="311">
        <v>0.1</v>
      </c>
      <c r="AA16" s="328">
        <v>0</v>
      </c>
      <c r="AB16" s="190">
        <f t="shared" si="1"/>
        <v>1</v>
      </c>
      <c r="AC16" s="312">
        <f t="shared" si="0"/>
        <v>0.2</v>
      </c>
      <c r="AD16" s="437"/>
    </row>
    <row r="17" spans="1:30" ht="12.75" customHeight="1" thickBot="1">
      <c r="A17" s="466"/>
      <c r="B17" s="340"/>
      <c r="C17" s="63" t="s">
        <v>367</v>
      </c>
      <c r="D17" s="63" t="s">
        <v>367</v>
      </c>
      <c r="E17" s="340"/>
      <c r="F17" s="340"/>
      <c r="G17" s="340"/>
      <c r="H17" s="340"/>
      <c r="I17" s="340"/>
      <c r="J17" s="340"/>
      <c r="K17" s="340"/>
      <c r="L17" s="340"/>
      <c r="M17" s="207"/>
      <c r="N17" s="219"/>
      <c r="O17" s="220"/>
      <c r="P17" s="340">
        <v>0</v>
      </c>
      <c r="Q17" s="340">
        <v>1</v>
      </c>
      <c r="R17" s="340">
        <v>0</v>
      </c>
      <c r="S17" s="217">
        <v>0</v>
      </c>
      <c r="T17" s="340">
        <v>0</v>
      </c>
      <c r="U17" s="340">
        <v>0.5</v>
      </c>
      <c r="V17" s="340">
        <v>0</v>
      </c>
      <c r="W17" s="340">
        <v>0</v>
      </c>
      <c r="X17" s="311">
        <v>0.1</v>
      </c>
      <c r="Y17" s="328">
        <v>0</v>
      </c>
      <c r="Z17" s="311">
        <v>0.1</v>
      </c>
      <c r="AA17" s="328">
        <v>0</v>
      </c>
      <c r="AB17" s="190">
        <f t="shared" si="1"/>
        <v>0.5</v>
      </c>
      <c r="AC17" s="312">
        <f t="shared" si="0"/>
        <v>0.2</v>
      </c>
      <c r="AD17" s="437"/>
    </row>
    <row r="18" spans="1:30" ht="12.75" customHeight="1" thickBot="1">
      <c r="A18" s="466"/>
      <c r="B18" s="340"/>
      <c r="C18" s="64" t="s">
        <v>368</v>
      </c>
      <c r="D18" s="64" t="s">
        <v>368</v>
      </c>
      <c r="E18" s="340"/>
      <c r="F18" s="340"/>
      <c r="G18" s="340"/>
      <c r="H18" s="340"/>
      <c r="I18" s="340"/>
      <c r="J18" s="340"/>
      <c r="K18" s="340"/>
      <c r="L18" s="340"/>
      <c r="M18" s="207"/>
      <c r="N18" s="219"/>
      <c r="O18" s="220"/>
      <c r="P18" s="340">
        <v>0</v>
      </c>
      <c r="Q18" s="340">
        <v>1</v>
      </c>
      <c r="R18" s="340">
        <v>0</v>
      </c>
      <c r="S18" s="217">
        <v>0</v>
      </c>
      <c r="T18" s="340">
        <v>0</v>
      </c>
      <c r="U18" s="340">
        <v>0.5</v>
      </c>
      <c r="V18" s="340">
        <v>0</v>
      </c>
      <c r="W18" s="340">
        <v>0</v>
      </c>
      <c r="X18" s="311">
        <v>0.1</v>
      </c>
      <c r="Y18" s="328">
        <v>0</v>
      </c>
      <c r="Z18" s="311">
        <v>0.1</v>
      </c>
      <c r="AA18" s="328">
        <v>0</v>
      </c>
      <c r="AB18" s="190">
        <f t="shared" si="1"/>
        <v>0.5</v>
      </c>
      <c r="AC18" s="312">
        <f t="shared" si="0"/>
        <v>0.2</v>
      </c>
      <c r="AD18" s="437"/>
    </row>
    <row r="19" spans="1:30" ht="15.75" thickBot="1">
      <c r="A19" s="467"/>
      <c r="B19" s="340"/>
      <c r="C19" s="122" t="s">
        <v>369</v>
      </c>
      <c r="D19" s="122" t="s">
        <v>369</v>
      </c>
      <c r="E19" s="340"/>
      <c r="F19" s="340"/>
      <c r="G19" s="340"/>
      <c r="H19" s="340"/>
      <c r="I19" s="340"/>
      <c r="J19" s="340"/>
      <c r="K19" s="340"/>
      <c r="L19" s="340"/>
      <c r="M19" s="207"/>
      <c r="N19" s="219"/>
      <c r="O19" s="220"/>
      <c r="P19" s="340">
        <v>0</v>
      </c>
      <c r="Q19" s="340">
        <v>1</v>
      </c>
      <c r="R19" s="340">
        <v>0</v>
      </c>
      <c r="S19" s="217">
        <v>0</v>
      </c>
      <c r="T19" s="340">
        <v>0</v>
      </c>
      <c r="U19" s="340">
        <v>0.5</v>
      </c>
      <c r="V19" s="340">
        <v>0</v>
      </c>
      <c r="W19" s="340">
        <v>0</v>
      </c>
      <c r="X19" s="311">
        <v>0.1</v>
      </c>
      <c r="Y19" s="328">
        <v>0</v>
      </c>
      <c r="Z19" s="311">
        <v>0.1</v>
      </c>
      <c r="AA19" s="328">
        <v>0</v>
      </c>
      <c r="AB19" s="190">
        <f t="shared" si="1"/>
        <v>0.5</v>
      </c>
      <c r="AC19" s="312">
        <f t="shared" si="0"/>
        <v>0.2</v>
      </c>
      <c r="AD19" s="437"/>
    </row>
    <row r="20" spans="1:30" ht="27.75" customHeight="1">
      <c r="A20" s="468">
        <v>3</v>
      </c>
      <c r="B20" s="87"/>
      <c r="C20" s="259" t="s">
        <v>181</v>
      </c>
      <c r="D20" s="89"/>
      <c r="E20" s="222"/>
      <c r="F20" s="222"/>
      <c r="G20" s="222"/>
      <c r="H20" s="222"/>
      <c r="I20" s="222"/>
      <c r="J20" s="222"/>
      <c r="K20" s="222"/>
      <c r="L20" s="222"/>
      <c r="M20" s="207"/>
      <c r="N20" s="222"/>
      <c r="O20" s="220"/>
      <c r="P20" s="222"/>
      <c r="Q20" s="222"/>
      <c r="R20" s="222"/>
      <c r="S20" s="222"/>
      <c r="T20" s="222"/>
      <c r="U20" s="222"/>
      <c r="V20" s="222"/>
      <c r="W20" s="339"/>
      <c r="X20" s="287"/>
      <c r="Y20" s="339"/>
      <c r="Z20" s="317"/>
      <c r="AA20" s="339"/>
      <c r="AB20" s="312"/>
      <c r="AC20" s="312"/>
      <c r="AD20" s="438" t="s">
        <v>427</v>
      </c>
    </row>
    <row r="21" spans="1:30" ht="15" customHeight="1">
      <c r="A21" s="469"/>
      <c r="B21" s="340"/>
      <c r="C21" s="64" t="s">
        <v>361</v>
      </c>
      <c r="D21" s="48"/>
      <c r="E21" s="304"/>
      <c r="F21" s="340"/>
      <c r="G21" s="304"/>
      <c r="H21" s="340"/>
      <c r="I21" s="304"/>
      <c r="J21" s="340"/>
      <c r="K21" s="304"/>
      <c r="L21" s="340"/>
      <c r="M21" s="318"/>
      <c r="N21" s="340"/>
      <c r="O21" s="220"/>
      <c r="P21" s="340">
        <v>1</v>
      </c>
      <c r="Q21" s="340">
        <v>1</v>
      </c>
      <c r="R21" s="340">
        <v>0</v>
      </c>
      <c r="S21" s="340">
        <v>0</v>
      </c>
      <c r="T21" s="340">
        <v>0.5</v>
      </c>
      <c r="U21" s="340">
        <v>0.5</v>
      </c>
      <c r="V21" s="340">
        <v>0</v>
      </c>
      <c r="W21" s="340">
        <v>0</v>
      </c>
      <c r="X21" s="340">
        <v>0</v>
      </c>
      <c r="Y21" s="340">
        <v>0</v>
      </c>
      <c r="Z21" s="340">
        <v>0</v>
      </c>
      <c r="AA21" s="340">
        <v>0</v>
      </c>
      <c r="AB21" s="340">
        <f>T21+U21+V21+W21</f>
        <v>1</v>
      </c>
      <c r="AC21" s="313">
        <f>X21+Y21+Z21+AA21</f>
        <v>0</v>
      </c>
      <c r="AD21" s="439"/>
    </row>
    <row r="22" spans="1:30" ht="15">
      <c r="A22" s="469"/>
      <c r="B22" s="340"/>
      <c r="C22" s="63" t="s">
        <v>362</v>
      </c>
      <c r="D22" s="48"/>
      <c r="E22" s="304"/>
      <c r="F22" s="340"/>
      <c r="G22" s="304"/>
      <c r="H22" s="340"/>
      <c r="I22" s="304"/>
      <c r="J22" s="340"/>
      <c r="K22" s="304"/>
      <c r="L22" s="340"/>
      <c r="M22" s="318"/>
      <c r="N22" s="340"/>
      <c r="O22" s="220"/>
      <c r="P22" s="340">
        <v>0</v>
      </c>
      <c r="Q22" s="340">
        <v>1</v>
      </c>
      <c r="R22" s="340">
        <v>0</v>
      </c>
      <c r="S22" s="340">
        <v>0</v>
      </c>
      <c r="T22" s="340">
        <v>0</v>
      </c>
      <c r="U22" s="340">
        <v>0.5</v>
      </c>
      <c r="V22" s="340">
        <v>0</v>
      </c>
      <c r="W22" s="340">
        <v>0</v>
      </c>
      <c r="X22" s="340">
        <v>0</v>
      </c>
      <c r="Y22" s="340">
        <v>0</v>
      </c>
      <c r="Z22" s="340">
        <v>0</v>
      </c>
      <c r="AA22" s="340">
        <v>0</v>
      </c>
      <c r="AB22" s="340">
        <f t="shared" ref="AB22:AB29" si="2">T22+U22+V22+W22</f>
        <v>0.5</v>
      </c>
      <c r="AC22" s="313">
        <f t="shared" ref="AC22:AC29" si="3">X22+Y22+Z22+AA22</f>
        <v>0</v>
      </c>
      <c r="AD22" s="439"/>
    </row>
    <row r="23" spans="1:30" ht="15">
      <c r="A23" s="469"/>
      <c r="B23" s="340"/>
      <c r="C23" s="63" t="s">
        <v>363</v>
      </c>
      <c r="D23" s="48"/>
      <c r="E23" s="304"/>
      <c r="F23" s="340"/>
      <c r="G23" s="304"/>
      <c r="H23" s="340"/>
      <c r="I23" s="304"/>
      <c r="J23" s="340"/>
      <c r="K23" s="304"/>
      <c r="L23" s="340"/>
      <c r="M23" s="318"/>
      <c r="N23" s="340"/>
      <c r="O23" s="220"/>
      <c r="P23" s="340">
        <v>1</v>
      </c>
      <c r="Q23" s="340">
        <v>1</v>
      </c>
      <c r="R23" s="340">
        <v>0</v>
      </c>
      <c r="S23" s="340">
        <v>0</v>
      </c>
      <c r="T23" s="340">
        <v>0.5</v>
      </c>
      <c r="U23" s="340">
        <v>0.5</v>
      </c>
      <c r="V23" s="340">
        <v>0</v>
      </c>
      <c r="W23" s="340">
        <v>0</v>
      </c>
      <c r="X23" s="340">
        <v>0</v>
      </c>
      <c r="Y23" s="340">
        <v>0</v>
      </c>
      <c r="Z23" s="340">
        <v>0</v>
      </c>
      <c r="AA23" s="340">
        <v>0</v>
      </c>
      <c r="AB23" s="340">
        <f t="shared" si="2"/>
        <v>1</v>
      </c>
      <c r="AC23" s="313">
        <f t="shared" si="3"/>
        <v>0</v>
      </c>
      <c r="AD23" s="439"/>
    </row>
    <row r="24" spans="1:30" ht="15">
      <c r="A24" s="469"/>
      <c r="B24" s="340"/>
      <c r="C24" s="64" t="s">
        <v>364</v>
      </c>
      <c r="D24" s="48"/>
      <c r="E24" s="304"/>
      <c r="F24" s="340"/>
      <c r="G24" s="304"/>
      <c r="H24" s="340"/>
      <c r="I24" s="304"/>
      <c r="J24" s="340"/>
      <c r="K24" s="304"/>
      <c r="L24" s="340"/>
      <c r="M24" s="318"/>
      <c r="N24" s="340"/>
      <c r="O24" s="220"/>
      <c r="P24" s="340">
        <v>0</v>
      </c>
      <c r="Q24" s="340">
        <v>1</v>
      </c>
      <c r="R24" s="340">
        <v>0</v>
      </c>
      <c r="S24" s="340">
        <v>0</v>
      </c>
      <c r="T24" s="340">
        <v>0</v>
      </c>
      <c r="U24" s="340">
        <v>0.5</v>
      </c>
      <c r="V24" s="340">
        <v>0</v>
      </c>
      <c r="W24" s="340">
        <v>0</v>
      </c>
      <c r="X24" s="340">
        <v>0</v>
      </c>
      <c r="Y24" s="340">
        <v>0</v>
      </c>
      <c r="Z24" s="340">
        <v>0</v>
      </c>
      <c r="AA24" s="340">
        <v>0</v>
      </c>
      <c r="AB24" s="340">
        <f t="shared" si="2"/>
        <v>0.5</v>
      </c>
      <c r="AC24" s="313">
        <f t="shared" si="3"/>
        <v>0</v>
      </c>
      <c r="AD24" s="439"/>
    </row>
    <row r="25" spans="1:30" ht="15">
      <c r="A25" s="469"/>
      <c r="B25" s="340"/>
      <c r="C25" s="63" t="s">
        <v>365</v>
      </c>
      <c r="D25" s="48"/>
      <c r="E25" s="304"/>
      <c r="F25" s="340"/>
      <c r="G25" s="304"/>
      <c r="H25" s="340"/>
      <c r="I25" s="304"/>
      <c r="J25" s="340"/>
      <c r="K25" s="304"/>
      <c r="L25" s="340"/>
      <c r="M25" s="318"/>
      <c r="N25" s="340"/>
      <c r="O25" s="220"/>
      <c r="P25" s="340">
        <v>0</v>
      </c>
      <c r="Q25" s="340">
        <v>1</v>
      </c>
      <c r="R25" s="340">
        <v>0</v>
      </c>
      <c r="S25" s="340">
        <v>0</v>
      </c>
      <c r="T25" s="340">
        <v>0</v>
      </c>
      <c r="U25" s="340">
        <v>0.5</v>
      </c>
      <c r="V25" s="340">
        <v>0</v>
      </c>
      <c r="W25" s="340">
        <v>0</v>
      </c>
      <c r="X25" s="340">
        <v>0</v>
      </c>
      <c r="Y25" s="340">
        <v>0</v>
      </c>
      <c r="Z25" s="340">
        <v>0</v>
      </c>
      <c r="AA25" s="340">
        <v>0</v>
      </c>
      <c r="AB25" s="340">
        <f t="shared" si="2"/>
        <v>0.5</v>
      </c>
      <c r="AC25" s="313">
        <f t="shared" si="3"/>
        <v>0</v>
      </c>
      <c r="AD25" s="439"/>
    </row>
    <row r="26" spans="1:30" ht="15">
      <c r="A26" s="469"/>
      <c r="B26" s="340"/>
      <c r="C26" s="63" t="s">
        <v>366</v>
      </c>
      <c r="D26" s="48"/>
      <c r="E26" s="304"/>
      <c r="F26" s="340"/>
      <c r="G26" s="304"/>
      <c r="H26" s="340"/>
      <c r="I26" s="304"/>
      <c r="J26" s="340"/>
      <c r="K26" s="304"/>
      <c r="L26" s="340"/>
      <c r="M26" s="318"/>
      <c r="N26" s="340"/>
      <c r="O26" s="220"/>
      <c r="P26" s="340">
        <v>1</v>
      </c>
      <c r="Q26" s="340">
        <v>1</v>
      </c>
      <c r="R26" s="340">
        <v>0</v>
      </c>
      <c r="S26" s="340">
        <v>0</v>
      </c>
      <c r="T26" s="340">
        <v>1</v>
      </c>
      <c r="U26" s="340">
        <v>0.5</v>
      </c>
      <c r="V26" s="340">
        <v>0</v>
      </c>
      <c r="W26" s="340">
        <v>0</v>
      </c>
      <c r="X26" s="260">
        <v>0</v>
      </c>
      <c r="Y26" s="340">
        <v>0</v>
      </c>
      <c r="Z26" s="317">
        <v>0</v>
      </c>
      <c r="AA26" s="340">
        <v>0</v>
      </c>
      <c r="AB26" s="340">
        <f t="shared" si="2"/>
        <v>1.5</v>
      </c>
      <c r="AC26" s="313">
        <f t="shared" si="3"/>
        <v>0</v>
      </c>
      <c r="AD26" s="439"/>
    </row>
    <row r="27" spans="1:30" ht="15">
      <c r="A27" s="469"/>
      <c r="B27" s="340"/>
      <c r="C27" s="63" t="s">
        <v>367</v>
      </c>
      <c r="D27" s="48"/>
      <c r="E27" s="304"/>
      <c r="F27" s="340"/>
      <c r="G27" s="304"/>
      <c r="H27" s="340"/>
      <c r="I27" s="304"/>
      <c r="J27" s="340"/>
      <c r="K27" s="304"/>
      <c r="L27" s="340"/>
      <c r="M27" s="318"/>
      <c r="N27" s="340"/>
      <c r="O27" s="220"/>
      <c r="P27" s="340">
        <v>0</v>
      </c>
      <c r="Q27" s="340">
        <v>1</v>
      </c>
      <c r="R27" s="340">
        <v>0</v>
      </c>
      <c r="S27" s="340">
        <v>0</v>
      </c>
      <c r="T27" s="340">
        <v>0</v>
      </c>
      <c r="U27" s="340">
        <v>0.5</v>
      </c>
      <c r="V27" s="340">
        <v>0</v>
      </c>
      <c r="W27" s="340">
        <v>0</v>
      </c>
      <c r="X27" s="340">
        <v>0</v>
      </c>
      <c r="Y27" s="340">
        <v>0</v>
      </c>
      <c r="Z27" s="340">
        <v>0</v>
      </c>
      <c r="AA27" s="340">
        <v>0</v>
      </c>
      <c r="AB27" s="340">
        <f t="shared" si="2"/>
        <v>0.5</v>
      </c>
      <c r="AC27" s="313">
        <f t="shared" si="3"/>
        <v>0</v>
      </c>
      <c r="AD27" s="439"/>
    </row>
    <row r="28" spans="1:30" ht="15">
      <c r="A28" s="469"/>
      <c r="B28" s="340"/>
      <c r="C28" s="64" t="s">
        <v>368</v>
      </c>
      <c r="D28" s="48"/>
      <c r="E28" s="304"/>
      <c r="F28" s="340"/>
      <c r="G28" s="304"/>
      <c r="H28" s="340"/>
      <c r="I28" s="304"/>
      <c r="J28" s="340"/>
      <c r="K28" s="304"/>
      <c r="L28" s="340"/>
      <c r="M28" s="318"/>
      <c r="N28" s="340"/>
      <c r="O28" s="220"/>
      <c r="P28" s="340">
        <v>0</v>
      </c>
      <c r="Q28" s="340">
        <v>1</v>
      </c>
      <c r="R28" s="340">
        <v>0</v>
      </c>
      <c r="S28" s="340">
        <v>0</v>
      </c>
      <c r="T28" s="340">
        <v>0</v>
      </c>
      <c r="U28" s="340">
        <v>0.5</v>
      </c>
      <c r="V28" s="340">
        <v>0</v>
      </c>
      <c r="W28" s="340">
        <v>0</v>
      </c>
      <c r="X28" s="340">
        <v>0</v>
      </c>
      <c r="Y28" s="340">
        <v>0</v>
      </c>
      <c r="Z28" s="340">
        <v>0</v>
      </c>
      <c r="AA28" s="340">
        <v>0</v>
      </c>
      <c r="AB28" s="340">
        <f t="shared" si="2"/>
        <v>0.5</v>
      </c>
      <c r="AC28" s="313">
        <f t="shared" si="3"/>
        <v>0</v>
      </c>
      <c r="AD28" s="439"/>
    </row>
    <row r="29" spans="1:30" ht="15">
      <c r="A29" s="470"/>
      <c r="B29" s="340"/>
      <c r="C29" s="122" t="s">
        <v>369</v>
      </c>
      <c r="D29" s="48"/>
      <c r="E29" s="304"/>
      <c r="F29" s="340"/>
      <c r="G29" s="304"/>
      <c r="H29" s="340"/>
      <c r="I29" s="304"/>
      <c r="J29" s="340"/>
      <c r="K29" s="304"/>
      <c r="L29" s="340"/>
      <c r="M29" s="318"/>
      <c r="N29" s="340"/>
      <c r="O29" s="220"/>
      <c r="P29" s="340">
        <v>0</v>
      </c>
      <c r="Q29" s="340">
        <v>1</v>
      </c>
      <c r="R29" s="340">
        <v>0</v>
      </c>
      <c r="S29" s="340">
        <v>0</v>
      </c>
      <c r="T29" s="340">
        <v>0</v>
      </c>
      <c r="U29" s="340">
        <v>0.5</v>
      </c>
      <c r="V29" s="340">
        <v>0</v>
      </c>
      <c r="W29" s="340">
        <v>0</v>
      </c>
      <c r="X29" s="340">
        <v>0</v>
      </c>
      <c r="Y29" s="340">
        <v>0</v>
      </c>
      <c r="Z29" s="340">
        <v>0</v>
      </c>
      <c r="AA29" s="340">
        <v>0</v>
      </c>
      <c r="AB29" s="340">
        <f t="shared" si="2"/>
        <v>0.5</v>
      </c>
      <c r="AC29" s="313">
        <f t="shared" si="3"/>
        <v>0</v>
      </c>
      <c r="AD29" s="439"/>
    </row>
    <row r="30" spans="1:30" ht="12.75" customHeight="1">
      <c r="A30" s="408" t="s">
        <v>86</v>
      </c>
      <c r="B30" s="408"/>
      <c r="C30" s="408"/>
      <c r="D30" s="48"/>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352">
        <f>SUM(AB9:AB29)</f>
        <v>13</v>
      </c>
      <c r="AC30" s="352">
        <f>SUM(AC9:AC29)</f>
        <v>2.8000000000000003</v>
      </c>
      <c r="AD30" s="440"/>
    </row>
    <row r="31" spans="1:30">
      <c r="A31" s="78" t="s">
        <v>182</v>
      </c>
      <c r="B31" s="79"/>
      <c r="C31" s="79"/>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row>
    <row r="32" spans="1:30" s="94" customFormat="1">
      <c r="A32" s="90"/>
      <c r="B32" s="91" t="s">
        <v>153</v>
      </c>
      <c r="C32" s="90"/>
      <c r="D32" s="92" t="s">
        <v>176</v>
      </c>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row>
    <row r="33" spans="1:30" s="2" customFormat="1" ht="15.75" customHeight="1">
      <c r="A33" s="459">
        <v>1</v>
      </c>
      <c r="B33" s="370"/>
      <c r="C33" s="462" t="s">
        <v>176</v>
      </c>
      <c r="D33" s="81" t="s">
        <v>177</v>
      </c>
      <c r="E33" s="82"/>
      <c r="F33" s="83"/>
      <c r="G33" s="82"/>
      <c r="H33" s="82"/>
      <c r="I33" s="83"/>
      <c r="J33" s="83"/>
      <c r="K33" s="82"/>
      <c r="L33" s="82"/>
      <c r="M33" s="82"/>
      <c r="N33" s="82"/>
      <c r="O33" s="82"/>
      <c r="P33" s="84"/>
      <c r="Q33" s="82"/>
      <c r="R33" s="82"/>
      <c r="S33" s="85"/>
      <c r="T33" s="85"/>
      <c r="U33" s="85"/>
      <c r="V33" s="85"/>
      <c r="W33" s="85"/>
      <c r="X33" s="85"/>
      <c r="Y33" s="85"/>
      <c r="Z33" s="85"/>
      <c r="AA33" s="314"/>
      <c r="AB33" s="313">
        <f>SUM(T33:W33)</f>
        <v>0</v>
      </c>
      <c r="AC33" s="313">
        <f>SUM(X33:AA33)</f>
        <v>0</v>
      </c>
      <c r="AD33" s="85"/>
    </row>
    <row r="34" spans="1:30" customFormat="1" ht="15" customHeight="1">
      <c r="A34" s="460"/>
      <c r="B34" s="371"/>
      <c r="C34" s="463"/>
      <c r="D34" s="83" t="s">
        <v>178</v>
      </c>
      <c r="E34" s="83"/>
      <c r="F34" s="83"/>
      <c r="G34" s="83"/>
      <c r="H34" s="83"/>
      <c r="I34" s="83"/>
      <c r="J34" s="83"/>
      <c r="K34" s="83"/>
      <c r="L34" s="83"/>
      <c r="M34" s="83"/>
      <c r="N34" s="83"/>
      <c r="O34" s="83"/>
      <c r="P34" s="83"/>
      <c r="Q34" s="83"/>
      <c r="R34" s="83"/>
      <c r="S34" s="83"/>
      <c r="T34" s="83"/>
      <c r="U34" s="83"/>
      <c r="V34" s="83"/>
      <c r="W34" s="83"/>
      <c r="X34" s="83"/>
      <c r="Y34" s="83"/>
      <c r="Z34" s="83"/>
      <c r="AA34" s="315"/>
      <c r="AB34" s="313">
        <f>SUM(T34:W34)</f>
        <v>0</v>
      </c>
      <c r="AC34" s="313">
        <f>SUM(X34:AA34)</f>
        <v>0</v>
      </c>
      <c r="AD34" s="83"/>
    </row>
    <row r="35" spans="1:30" customFormat="1" ht="15" customHeight="1">
      <c r="A35" s="461"/>
      <c r="B35" s="372"/>
      <c r="C35" s="464"/>
      <c r="D35" s="83" t="s">
        <v>179</v>
      </c>
      <c r="E35" s="83"/>
      <c r="F35" s="83"/>
      <c r="G35" s="83"/>
      <c r="H35" s="83"/>
      <c r="I35" s="83"/>
      <c r="J35" s="83"/>
      <c r="K35" s="83"/>
      <c r="L35" s="83"/>
      <c r="M35" s="83"/>
      <c r="N35" s="83"/>
      <c r="O35" s="83"/>
      <c r="P35" s="83"/>
      <c r="Q35" s="83"/>
      <c r="R35" s="83"/>
      <c r="S35" s="83"/>
      <c r="T35" s="83"/>
      <c r="U35" s="83"/>
      <c r="V35" s="83"/>
      <c r="W35" s="83"/>
      <c r="X35" s="83"/>
      <c r="Y35" s="83"/>
      <c r="Z35" s="83"/>
      <c r="AA35" s="315"/>
      <c r="AB35" s="313">
        <f>SUM(T35:W35)</f>
        <v>0</v>
      </c>
      <c r="AC35" s="313">
        <f>SUM(X35:AA35)</f>
        <v>0</v>
      </c>
      <c r="AD35" s="83"/>
    </row>
    <row r="36" spans="1:30" customFormat="1" ht="15">
      <c r="A36" s="370">
        <v>2</v>
      </c>
      <c r="B36" s="370"/>
      <c r="C36" s="86" t="s">
        <v>180</v>
      </c>
      <c r="D36" s="81" t="s">
        <v>177</v>
      </c>
      <c r="E36" s="83"/>
      <c r="F36" s="83"/>
      <c r="G36" s="83"/>
      <c r="H36" s="83"/>
      <c r="I36" s="83"/>
      <c r="J36" s="83"/>
      <c r="K36" s="83"/>
      <c r="L36" s="83"/>
      <c r="M36" s="83"/>
      <c r="N36" s="83"/>
      <c r="O36" s="83"/>
      <c r="P36" s="83"/>
      <c r="Q36" s="83"/>
      <c r="R36" s="83"/>
      <c r="S36" s="83"/>
      <c r="T36" s="83"/>
      <c r="U36" s="83"/>
      <c r="V36" s="83"/>
      <c r="W36" s="83"/>
      <c r="X36" s="83"/>
      <c r="Y36" s="83"/>
      <c r="Z36" s="83"/>
      <c r="AA36" s="315"/>
      <c r="AB36" s="313">
        <f>SUM(T36:W36)</f>
        <v>0</v>
      </c>
      <c r="AC36" s="313">
        <f>SUM(X36:AA36)</f>
        <v>0</v>
      </c>
      <c r="AD36" s="83"/>
    </row>
    <row r="37" spans="1:30" ht="25.5">
      <c r="A37" s="87">
        <v>3</v>
      </c>
      <c r="B37" s="87"/>
      <c r="C37" s="88" t="s">
        <v>181</v>
      </c>
      <c r="D37" s="89"/>
      <c r="E37" s="89"/>
      <c r="F37" s="89"/>
      <c r="G37" s="89"/>
      <c r="H37" s="89"/>
      <c r="I37" s="89"/>
      <c r="J37" s="89"/>
      <c r="K37" s="89"/>
      <c r="L37" s="89"/>
      <c r="M37" s="89"/>
      <c r="N37" s="89"/>
      <c r="O37" s="89"/>
      <c r="P37" s="89"/>
      <c r="Q37" s="89"/>
      <c r="R37" s="89"/>
      <c r="S37" s="89"/>
      <c r="T37" s="89"/>
      <c r="U37" s="89"/>
      <c r="V37" s="89"/>
      <c r="W37" s="89"/>
      <c r="X37" s="89"/>
      <c r="Y37" s="89"/>
      <c r="Z37" s="89"/>
      <c r="AA37" s="316"/>
      <c r="AB37" s="313">
        <f>SUM(T37:W37)</f>
        <v>0</v>
      </c>
      <c r="AC37" s="313">
        <f>SUM(X37:AA37)</f>
        <v>0</v>
      </c>
      <c r="AD37" s="89"/>
    </row>
    <row r="38" spans="1:30" s="29" customFormat="1">
      <c r="A38" s="408" t="s">
        <v>86</v>
      </c>
      <c r="B38" s="408"/>
      <c r="C38" s="408"/>
      <c r="D38" s="52"/>
      <c r="E38" s="95">
        <f>SUM(E33:E37)</f>
        <v>0</v>
      </c>
      <c r="F38" s="95">
        <f t="shared" ref="F38:AA38" si="4">SUM(F33:F37)</f>
        <v>0</v>
      </c>
      <c r="G38" s="95">
        <f t="shared" si="4"/>
        <v>0</v>
      </c>
      <c r="H38" s="95">
        <f t="shared" si="4"/>
        <v>0</v>
      </c>
      <c r="I38" s="95">
        <f t="shared" si="4"/>
        <v>0</v>
      </c>
      <c r="J38" s="95">
        <f t="shared" si="4"/>
        <v>0</v>
      </c>
      <c r="K38" s="95">
        <f t="shared" si="4"/>
        <v>0</v>
      </c>
      <c r="L38" s="95">
        <f t="shared" si="4"/>
        <v>0</v>
      </c>
      <c r="M38" s="95">
        <f t="shared" si="4"/>
        <v>0</v>
      </c>
      <c r="N38" s="95">
        <f t="shared" si="4"/>
        <v>0</v>
      </c>
      <c r="O38" s="95">
        <f t="shared" si="4"/>
        <v>0</v>
      </c>
      <c r="P38" s="95">
        <f t="shared" si="4"/>
        <v>0</v>
      </c>
      <c r="Q38" s="95">
        <f t="shared" si="4"/>
        <v>0</v>
      </c>
      <c r="R38" s="95">
        <f t="shared" si="4"/>
        <v>0</v>
      </c>
      <c r="S38" s="95">
        <f t="shared" si="4"/>
        <v>0</v>
      </c>
      <c r="T38" s="95">
        <f t="shared" si="4"/>
        <v>0</v>
      </c>
      <c r="U38" s="95">
        <f t="shared" si="4"/>
        <v>0</v>
      </c>
      <c r="V38" s="95">
        <f t="shared" si="4"/>
        <v>0</v>
      </c>
      <c r="W38" s="95">
        <f t="shared" si="4"/>
        <v>0</v>
      </c>
      <c r="X38" s="95">
        <f t="shared" si="4"/>
        <v>0</v>
      </c>
      <c r="Y38" s="95">
        <f t="shared" si="4"/>
        <v>0</v>
      </c>
      <c r="Z38" s="95">
        <f t="shared" si="4"/>
        <v>0</v>
      </c>
      <c r="AA38" s="95">
        <f t="shared" si="4"/>
        <v>0</v>
      </c>
      <c r="AB38" s="59">
        <f>SUM(AB33:AB37)</f>
        <v>0</v>
      </c>
      <c r="AC38" s="59">
        <f>SUM(AC33:AC37)</f>
        <v>0</v>
      </c>
      <c r="AD38" s="52"/>
    </row>
  </sheetData>
  <mergeCells count="39">
    <mergeCell ref="A2:J2"/>
    <mergeCell ref="A30:C30"/>
    <mergeCell ref="A33:A35"/>
    <mergeCell ref="C33:C35"/>
    <mergeCell ref="A38:C38"/>
    <mergeCell ref="I5:I6"/>
    <mergeCell ref="J5:J6"/>
    <mergeCell ref="A10:A19"/>
    <mergeCell ref="A20:A29"/>
    <mergeCell ref="A3:A6"/>
    <mergeCell ref="B3:B6"/>
    <mergeCell ref="C3:C6"/>
    <mergeCell ref="D3:D6"/>
    <mergeCell ref="H5:H6"/>
    <mergeCell ref="G5:G6"/>
    <mergeCell ref="F5:F6"/>
    <mergeCell ref="R5:R6"/>
    <mergeCell ref="S5:S6"/>
    <mergeCell ref="T5:W5"/>
    <mergeCell ref="X5:AA5"/>
    <mergeCell ref="L5:L6"/>
    <mergeCell ref="P5:P6"/>
    <mergeCell ref="Q5:Q6"/>
    <mergeCell ref="K5:K6"/>
    <mergeCell ref="AD9:AD19"/>
    <mergeCell ref="AD20:AD30"/>
    <mergeCell ref="AD3:AD6"/>
    <mergeCell ref="E4:H4"/>
    <mergeCell ref="I4:L4"/>
    <mergeCell ref="M4:M6"/>
    <mergeCell ref="N4:N6"/>
    <mergeCell ref="O4:O6"/>
    <mergeCell ref="P4:S4"/>
    <mergeCell ref="T4:AA4"/>
    <mergeCell ref="AB4:AB6"/>
    <mergeCell ref="AC4:AC6"/>
    <mergeCell ref="E3:O3"/>
    <mergeCell ref="P3:AC3"/>
    <mergeCell ref="E5:E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7"/>
  <sheetViews>
    <sheetView showGridLines="0" zoomScale="90" zoomScaleNormal="90" workbookViewId="0">
      <selection activeCell="I20" sqref="I20"/>
    </sheetView>
  </sheetViews>
  <sheetFormatPr defaultColWidth="9.140625" defaultRowHeight="12.75"/>
  <cols>
    <col min="1" max="1" width="10.85546875" style="31" customWidth="1"/>
    <col min="2" max="2" width="16.28515625" style="31" customWidth="1"/>
    <col min="3" max="5" width="11.7109375" style="30" customWidth="1"/>
    <col min="6" max="7" width="12" style="30" customWidth="1"/>
    <col min="8" max="8" width="10.7109375" style="30" customWidth="1"/>
    <col min="9" max="9" width="14" style="30" customWidth="1"/>
    <col min="10" max="10" width="10" style="30" customWidth="1"/>
    <col min="11" max="11" width="11.85546875" style="30" customWidth="1"/>
    <col min="12" max="12" width="14.28515625" style="30" customWidth="1"/>
    <col min="13" max="13" width="12.85546875" style="30" customWidth="1"/>
    <col min="14" max="14" width="14.7109375" style="30" customWidth="1"/>
    <col min="15" max="15" width="18.28515625" style="30" bestFit="1" customWidth="1"/>
    <col min="16" max="16" width="25" style="30" customWidth="1"/>
    <col min="17" max="16384" width="9.140625" style="30"/>
  </cols>
  <sheetData>
    <row r="1" spans="1:16" ht="17.25" customHeight="1">
      <c r="A1" s="58" t="s">
        <v>183</v>
      </c>
      <c r="B1" s="96"/>
      <c r="O1" s="72"/>
      <c r="P1" s="72"/>
    </row>
    <row r="2" spans="1:16" ht="17.25" customHeight="1">
      <c r="A2" s="426" t="s">
        <v>358</v>
      </c>
      <c r="B2" s="426"/>
      <c r="C2" s="426"/>
      <c r="D2" s="426"/>
      <c r="E2" s="426"/>
      <c r="F2" s="426"/>
      <c r="G2" s="426"/>
      <c r="H2" s="426"/>
      <c r="I2" s="426"/>
      <c r="J2" s="426"/>
      <c r="O2" s="72"/>
      <c r="P2" s="72"/>
    </row>
    <row r="3" spans="1:16" s="97" customFormat="1" ht="29.25" customHeight="1">
      <c r="A3" s="427" t="s">
        <v>0</v>
      </c>
      <c r="B3" s="471" t="s">
        <v>184</v>
      </c>
      <c r="C3" s="418" t="s">
        <v>185</v>
      </c>
      <c r="D3" s="419"/>
      <c r="E3" s="419"/>
      <c r="F3" s="419"/>
      <c r="G3" s="420"/>
      <c r="H3" s="476" t="s">
        <v>134</v>
      </c>
      <c r="I3" s="477"/>
      <c r="J3" s="477"/>
      <c r="K3" s="477"/>
      <c r="L3" s="477"/>
      <c r="M3" s="477"/>
      <c r="N3" s="477"/>
      <c r="O3" s="478"/>
      <c r="P3" s="474" t="s">
        <v>118</v>
      </c>
    </row>
    <row r="4" spans="1:16" s="97" customFormat="1" ht="114.75">
      <c r="A4" s="428"/>
      <c r="B4" s="428"/>
      <c r="C4" s="98" t="s">
        <v>186</v>
      </c>
      <c r="D4" s="98" t="s">
        <v>187</v>
      </c>
      <c r="E4" s="98" t="s">
        <v>122</v>
      </c>
      <c r="F4" s="26" t="s">
        <v>123</v>
      </c>
      <c r="G4" s="26" t="s">
        <v>124</v>
      </c>
      <c r="H4" s="26" t="s">
        <v>188</v>
      </c>
      <c r="I4" s="98" t="s">
        <v>189</v>
      </c>
      <c r="J4" s="98" t="s">
        <v>190</v>
      </c>
      <c r="K4" s="99" t="s">
        <v>191</v>
      </c>
      <c r="L4" s="26" t="s">
        <v>192</v>
      </c>
      <c r="M4" s="100" t="s">
        <v>193</v>
      </c>
      <c r="N4" s="26" t="s">
        <v>194</v>
      </c>
      <c r="O4" s="26" t="s">
        <v>195</v>
      </c>
      <c r="P4" s="475"/>
    </row>
    <row r="5" spans="1:16">
      <c r="A5" s="45"/>
      <c r="B5" s="45"/>
      <c r="C5" s="45"/>
      <c r="D5" s="45"/>
      <c r="E5" s="45"/>
      <c r="F5" s="45"/>
      <c r="G5" s="45"/>
      <c r="H5" s="45" t="s">
        <v>14</v>
      </c>
      <c r="I5" s="45" t="s">
        <v>15</v>
      </c>
      <c r="J5" s="45" t="s">
        <v>16</v>
      </c>
      <c r="K5" s="45" t="s">
        <v>147</v>
      </c>
      <c r="L5" s="45" t="s">
        <v>149</v>
      </c>
      <c r="M5" s="45" t="s">
        <v>170</v>
      </c>
      <c r="N5" s="45" t="s">
        <v>196</v>
      </c>
      <c r="O5" s="45" t="s">
        <v>197</v>
      </c>
      <c r="P5" s="45"/>
    </row>
    <row r="6" spans="1:16" ht="89.25">
      <c r="A6" s="101"/>
      <c r="B6" s="102" t="s">
        <v>138</v>
      </c>
      <c r="C6" s="103"/>
      <c r="D6" s="103"/>
      <c r="E6" s="103"/>
      <c r="F6" s="103"/>
      <c r="G6" s="103"/>
      <c r="H6" s="103"/>
      <c r="I6" s="103"/>
      <c r="J6" s="103"/>
      <c r="K6" s="103"/>
      <c r="L6" s="103"/>
      <c r="M6" s="103"/>
      <c r="N6" s="103"/>
      <c r="O6" s="103"/>
      <c r="P6" s="103"/>
    </row>
    <row r="7" spans="1:16">
      <c r="A7" s="101">
        <v>1</v>
      </c>
      <c r="B7" s="102" t="s">
        <v>376</v>
      </c>
      <c r="C7" s="225"/>
      <c r="D7" s="225"/>
      <c r="E7" s="225"/>
      <c r="F7" s="103"/>
      <c r="G7" s="103"/>
      <c r="H7" s="103"/>
      <c r="I7" s="103"/>
      <c r="J7" s="103"/>
      <c r="K7" s="226"/>
      <c r="L7" s="103"/>
      <c r="M7" s="103"/>
      <c r="N7" s="227"/>
      <c r="O7" s="103"/>
      <c r="P7" s="103"/>
    </row>
    <row r="8" spans="1:16">
      <c r="A8" s="101">
        <v>2</v>
      </c>
      <c r="B8" s="102" t="s">
        <v>361</v>
      </c>
      <c r="C8" s="225"/>
      <c r="D8" s="225"/>
      <c r="E8" s="228"/>
      <c r="F8" s="103"/>
      <c r="G8" s="228"/>
      <c r="H8" s="103"/>
      <c r="I8" s="225"/>
      <c r="J8" s="103"/>
      <c r="K8" s="226"/>
      <c r="L8" s="228"/>
      <c r="M8" s="225"/>
      <c r="N8" s="229"/>
      <c r="O8" s="228"/>
      <c r="P8" s="479"/>
    </row>
    <row r="9" spans="1:16">
      <c r="A9" s="101">
        <v>3</v>
      </c>
      <c r="B9" s="102" t="s">
        <v>362</v>
      </c>
      <c r="C9" s="225"/>
      <c r="D9" s="225"/>
      <c r="E9" s="228"/>
      <c r="F9" s="103"/>
      <c r="G9" s="228"/>
      <c r="H9" s="103"/>
      <c r="I9" s="225"/>
      <c r="J9" s="103"/>
      <c r="K9" s="226"/>
      <c r="L9" s="228"/>
      <c r="M9" s="225"/>
      <c r="N9" s="229"/>
      <c r="O9" s="228"/>
      <c r="P9" s="480"/>
    </row>
    <row r="10" spans="1:16">
      <c r="A10" s="101">
        <v>4</v>
      </c>
      <c r="B10" s="102" t="s">
        <v>363</v>
      </c>
      <c r="C10" s="225"/>
      <c r="D10" s="225"/>
      <c r="E10" s="228"/>
      <c r="F10" s="103"/>
      <c r="G10" s="228"/>
      <c r="H10" s="103"/>
      <c r="I10" s="225"/>
      <c r="J10" s="103"/>
      <c r="K10" s="226"/>
      <c r="L10" s="228"/>
      <c r="M10" s="225"/>
      <c r="N10" s="229"/>
      <c r="O10" s="228"/>
      <c r="P10" s="225"/>
    </row>
    <row r="11" spans="1:16">
      <c r="A11" s="101">
        <v>5</v>
      </c>
      <c r="B11" s="102" t="s">
        <v>364</v>
      </c>
      <c r="C11" s="225"/>
      <c r="D11" s="225"/>
      <c r="E11" s="228"/>
      <c r="F11" s="103"/>
      <c r="G11" s="228"/>
      <c r="H11" s="103"/>
      <c r="I11" s="225"/>
      <c r="J11" s="103"/>
      <c r="K11" s="226"/>
      <c r="L11" s="228"/>
      <c r="M11" s="225"/>
      <c r="N11" s="229"/>
      <c r="O11" s="228"/>
      <c r="P11" s="225"/>
    </row>
    <row r="12" spans="1:16">
      <c r="A12" s="101">
        <v>6</v>
      </c>
      <c r="B12" s="102" t="s">
        <v>365</v>
      </c>
      <c r="C12" s="225"/>
      <c r="D12" s="225"/>
      <c r="E12" s="228"/>
      <c r="F12" s="103"/>
      <c r="G12" s="228"/>
      <c r="H12" s="103"/>
      <c r="I12" s="225"/>
      <c r="J12" s="103"/>
      <c r="K12" s="226"/>
      <c r="L12" s="228"/>
      <c r="M12" s="225"/>
      <c r="N12" s="229"/>
      <c r="O12" s="228"/>
      <c r="P12" s="225"/>
    </row>
    <row r="13" spans="1:16">
      <c r="A13" s="101">
        <v>7</v>
      </c>
      <c r="B13" s="102" t="s">
        <v>366</v>
      </c>
      <c r="C13" s="225"/>
      <c r="D13" s="225"/>
      <c r="E13" s="228"/>
      <c r="F13" s="103"/>
      <c r="G13" s="228"/>
      <c r="H13" s="103"/>
      <c r="I13" s="225"/>
      <c r="J13" s="103"/>
      <c r="K13" s="226"/>
      <c r="L13" s="228"/>
      <c r="M13" s="225"/>
      <c r="N13" s="229"/>
      <c r="O13" s="228"/>
      <c r="P13" s="225"/>
    </row>
    <row r="14" spans="1:16" s="2" customFormat="1" ht="15.75" customHeight="1">
      <c r="A14" s="206">
        <v>8</v>
      </c>
      <c r="B14" s="104" t="s">
        <v>367</v>
      </c>
      <c r="C14" s="230"/>
      <c r="D14" s="230"/>
      <c r="E14" s="228"/>
      <c r="F14" s="103"/>
      <c r="G14" s="228"/>
      <c r="H14" s="103"/>
      <c r="I14" s="105"/>
      <c r="J14" s="103"/>
      <c r="K14" s="226"/>
      <c r="L14" s="228"/>
      <c r="M14" s="230"/>
      <c r="N14" s="229"/>
      <c r="O14" s="228"/>
      <c r="P14" s="230"/>
    </row>
    <row r="15" spans="1:16" customFormat="1" ht="15" customHeight="1">
      <c r="A15" s="206">
        <v>9</v>
      </c>
      <c r="B15" s="104" t="s">
        <v>368</v>
      </c>
      <c r="C15" s="219"/>
      <c r="D15" s="219"/>
      <c r="E15" s="228"/>
      <c r="F15" s="103"/>
      <c r="G15" s="228"/>
      <c r="H15" s="103"/>
      <c r="I15" s="105"/>
      <c r="J15" s="103"/>
      <c r="K15" s="226"/>
      <c r="L15" s="228"/>
      <c r="M15" s="219"/>
      <c r="N15" s="229"/>
      <c r="O15" s="228"/>
      <c r="P15" s="219"/>
    </row>
    <row r="16" spans="1:16" customFormat="1" ht="15" customHeight="1">
      <c r="A16" s="206">
        <v>10</v>
      </c>
      <c r="B16" s="104" t="s">
        <v>369</v>
      </c>
      <c r="C16" s="219"/>
      <c r="D16" s="219"/>
      <c r="E16" s="228"/>
      <c r="F16" s="103"/>
      <c r="G16" s="228"/>
      <c r="H16" s="103"/>
      <c r="I16" s="105"/>
      <c r="J16" s="103"/>
      <c r="K16" s="226"/>
      <c r="L16" s="228"/>
      <c r="M16" s="219"/>
      <c r="N16" s="229"/>
      <c r="O16" s="228"/>
      <c r="P16" s="219"/>
    </row>
    <row r="17" spans="1:16" s="29" customFormat="1">
      <c r="A17" s="425" t="s">
        <v>86</v>
      </c>
      <c r="B17" s="425"/>
      <c r="C17" s="59">
        <f>SUM(C7:C16)</f>
        <v>0</v>
      </c>
      <c r="D17" s="59">
        <f>SUM(D7:D16)</f>
        <v>0</v>
      </c>
      <c r="E17" s="231">
        <v>0</v>
      </c>
      <c r="F17" s="59">
        <f>SUM(F7:F16)</f>
        <v>0</v>
      </c>
      <c r="G17" s="59">
        <v>0</v>
      </c>
      <c r="H17" s="59">
        <f>SUM(H8:H16)</f>
        <v>0</v>
      </c>
      <c r="I17" s="59">
        <f>SUM(I8:I16)</f>
        <v>0</v>
      </c>
      <c r="J17" s="59">
        <f>SUM(J8:J16)</f>
        <v>0</v>
      </c>
      <c r="K17" s="232"/>
      <c r="L17" s="200"/>
      <c r="M17" s="200"/>
      <c r="N17" s="200"/>
      <c r="O17" s="233">
        <f>SUM(O8:O16)</f>
        <v>0</v>
      </c>
      <c r="P17" s="200"/>
    </row>
  </sheetData>
  <mergeCells count="8">
    <mergeCell ref="A17:B17"/>
    <mergeCell ref="P3:P4"/>
    <mergeCell ref="A2:J2"/>
    <mergeCell ref="A3:A4"/>
    <mergeCell ref="B3:B4"/>
    <mergeCell ref="C3:G3"/>
    <mergeCell ref="H3:O3"/>
    <mergeCell ref="P8:P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5"/>
  <sheetViews>
    <sheetView showGridLines="0" workbookViewId="0">
      <selection activeCell="K23" sqref="K23"/>
    </sheetView>
  </sheetViews>
  <sheetFormatPr defaultColWidth="9.140625" defaultRowHeight="12.75"/>
  <cols>
    <col min="1" max="1" width="10" style="31" customWidth="1"/>
    <col min="2" max="2" width="30" style="31" customWidth="1"/>
    <col min="3" max="5" width="12" style="30" customWidth="1"/>
    <col min="6" max="9" width="11.85546875" style="30" customWidth="1"/>
    <col min="10" max="10" width="15.42578125" style="30" bestFit="1" customWidth="1"/>
    <col min="11" max="11" width="35" style="30" customWidth="1"/>
    <col min="12" max="16384" width="9.140625" style="30"/>
  </cols>
  <sheetData>
    <row r="1" spans="1:11" ht="17.25" customHeight="1">
      <c r="A1" s="106" t="s">
        <v>428</v>
      </c>
      <c r="J1" s="72"/>
      <c r="K1" s="72"/>
    </row>
    <row r="2" spans="1:11" ht="17.25" customHeight="1">
      <c r="A2" s="426" t="s">
        <v>357</v>
      </c>
      <c r="B2" s="426"/>
      <c r="C2" s="426"/>
      <c r="D2" s="426"/>
      <c r="E2" s="426"/>
      <c r="F2" s="426"/>
      <c r="G2" s="426"/>
      <c r="H2" s="426"/>
      <c r="I2" s="426"/>
      <c r="J2" s="426"/>
      <c r="K2" s="72"/>
    </row>
    <row r="3" spans="1:11" s="97" customFormat="1" ht="29.25" customHeight="1">
      <c r="A3" s="427" t="s">
        <v>0</v>
      </c>
      <c r="B3" s="427" t="s">
        <v>198</v>
      </c>
      <c r="C3" s="418" t="s">
        <v>199</v>
      </c>
      <c r="D3" s="419"/>
      <c r="E3" s="420"/>
      <c r="F3" s="487" t="s">
        <v>429</v>
      </c>
      <c r="G3" s="487"/>
      <c r="H3" s="487"/>
      <c r="I3" s="487"/>
      <c r="J3" s="487"/>
      <c r="K3" s="487" t="s">
        <v>118</v>
      </c>
    </row>
    <row r="4" spans="1:11" s="97" customFormat="1" ht="89.25">
      <c r="A4" s="471"/>
      <c r="B4" s="471"/>
      <c r="C4" s="374" t="s">
        <v>122</v>
      </c>
      <c r="D4" s="374" t="s">
        <v>123</v>
      </c>
      <c r="E4" s="374" t="s">
        <v>124</v>
      </c>
      <c r="F4" s="369" t="s">
        <v>200</v>
      </c>
      <c r="G4" s="369" t="s">
        <v>201</v>
      </c>
      <c r="H4" s="369" t="s">
        <v>202</v>
      </c>
      <c r="I4" s="369" t="s">
        <v>203</v>
      </c>
      <c r="J4" s="369" t="s">
        <v>204</v>
      </c>
      <c r="K4" s="487"/>
    </row>
    <row r="5" spans="1:11" ht="18" customHeight="1">
      <c r="A5" s="45"/>
      <c r="B5" s="45"/>
      <c r="C5" s="45"/>
      <c r="D5" s="45"/>
      <c r="E5" s="45"/>
      <c r="F5" s="45" t="s">
        <v>14</v>
      </c>
      <c r="G5" s="45" t="s">
        <v>15</v>
      </c>
      <c r="H5" s="45" t="s">
        <v>16</v>
      </c>
      <c r="I5" s="45" t="s">
        <v>147</v>
      </c>
      <c r="J5" s="45" t="s">
        <v>205</v>
      </c>
      <c r="K5" s="45"/>
    </row>
    <row r="6" spans="1:11">
      <c r="A6" s="107"/>
      <c r="B6" s="107" t="s">
        <v>206</v>
      </c>
      <c r="C6" s="108"/>
      <c r="D6" s="108"/>
      <c r="E6" s="108"/>
      <c r="F6" s="108"/>
      <c r="G6" s="108"/>
      <c r="H6" s="108"/>
      <c r="I6" s="108"/>
      <c r="J6" s="108"/>
      <c r="K6" s="108"/>
    </row>
    <row r="7" spans="1:11" ht="15">
      <c r="A7" s="263">
        <v>1</v>
      </c>
      <c r="B7" s="264" t="s">
        <v>1</v>
      </c>
      <c r="C7" s="340"/>
      <c r="D7" s="340"/>
      <c r="E7" s="340"/>
      <c r="F7" s="340">
        <v>1</v>
      </c>
      <c r="G7" s="340">
        <v>2</v>
      </c>
      <c r="H7" s="340">
        <v>2000</v>
      </c>
      <c r="I7" s="340">
        <v>12</v>
      </c>
      <c r="J7" s="340">
        <f>G7*H7*I7/100000</f>
        <v>0.48</v>
      </c>
      <c r="K7" s="481" t="s">
        <v>421</v>
      </c>
    </row>
    <row r="8" spans="1:11" ht="15">
      <c r="A8" s="484">
        <v>2</v>
      </c>
      <c r="B8" s="264" t="s">
        <v>177</v>
      </c>
      <c r="C8" s="234"/>
      <c r="D8" s="340"/>
      <c r="E8" s="340"/>
      <c r="F8" s="340"/>
      <c r="G8" s="340"/>
      <c r="H8" s="340"/>
      <c r="I8" s="340"/>
      <c r="J8" s="224"/>
      <c r="K8" s="482"/>
    </row>
    <row r="9" spans="1:11" ht="12.75" customHeight="1">
      <c r="A9" s="485"/>
      <c r="B9" s="261" t="s">
        <v>361</v>
      </c>
      <c r="C9" s="340"/>
      <c r="D9" s="340"/>
      <c r="E9" s="340"/>
      <c r="F9" s="340">
        <v>1</v>
      </c>
      <c r="G9" s="340">
        <v>1</v>
      </c>
      <c r="H9" s="340">
        <v>2500</v>
      </c>
      <c r="I9" s="340">
        <v>12</v>
      </c>
      <c r="J9" s="340">
        <f t="shared" ref="J9:J17" si="0">G9*H9*I9/100000</f>
        <v>0.3</v>
      </c>
      <c r="K9" s="482"/>
    </row>
    <row r="10" spans="1:11" ht="12.75" customHeight="1">
      <c r="A10" s="485"/>
      <c r="B10" s="266" t="s">
        <v>362</v>
      </c>
      <c r="C10" s="340"/>
      <c r="D10" s="340"/>
      <c r="E10" s="340"/>
      <c r="F10" s="340">
        <v>1</v>
      </c>
      <c r="G10" s="340">
        <v>1</v>
      </c>
      <c r="H10" s="340">
        <v>2500</v>
      </c>
      <c r="I10" s="340">
        <v>12</v>
      </c>
      <c r="J10" s="340">
        <f t="shared" si="0"/>
        <v>0.3</v>
      </c>
      <c r="K10" s="482"/>
    </row>
    <row r="11" spans="1:11" ht="12.75" customHeight="1">
      <c r="A11" s="485"/>
      <c r="B11" s="266" t="s">
        <v>363</v>
      </c>
      <c r="C11" s="340"/>
      <c r="D11" s="340"/>
      <c r="E11" s="340"/>
      <c r="F11" s="340">
        <v>1</v>
      </c>
      <c r="G11" s="340">
        <v>1</v>
      </c>
      <c r="H11" s="340">
        <v>2500</v>
      </c>
      <c r="I11" s="340">
        <v>12</v>
      </c>
      <c r="J11" s="340">
        <f t="shared" si="0"/>
        <v>0.3</v>
      </c>
      <c r="K11" s="482"/>
    </row>
    <row r="12" spans="1:11" ht="12.75" customHeight="1">
      <c r="A12" s="485"/>
      <c r="B12" s="261" t="s">
        <v>364</v>
      </c>
      <c r="C12" s="340"/>
      <c r="D12" s="340"/>
      <c r="E12" s="340"/>
      <c r="F12" s="340">
        <v>1</v>
      </c>
      <c r="G12" s="340">
        <v>1</v>
      </c>
      <c r="H12" s="340">
        <v>2500</v>
      </c>
      <c r="I12" s="340">
        <v>12</v>
      </c>
      <c r="J12" s="340">
        <f t="shared" si="0"/>
        <v>0.3</v>
      </c>
      <c r="K12" s="482"/>
    </row>
    <row r="13" spans="1:11" ht="12.75" customHeight="1">
      <c r="A13" s="485"/>
      <c r="B13" s="266" t="s">
        <v>365</v>
      </c>
      <c r="C13" s="340"/>
      <c r="D13" s="340"/>
      <c r="E13" s="340"/>
      <c r="F13" s="340">
        <v>1</v>
      </c>
      <c r="G13" s="340">
        <v>1</v>
      </c>
      <c r="H13" s="340">
        <v>2500</v>
      </c>
      <c r="I13" s="340">
        <v>12</v>
      </c>
      <c r="J13" s="340">
        <f t="shared" si="0"/>
        <v>0.3</v>
      </c>
      <c r="K13" s="482"/>
    </row>
    <row r="14" spans="1:11" ht="12.75" customHeight="1">
      <c r="A14" s="485"/>
      <c r="B14" s="266" t="s">
        <v>366</v>
      </c>
      <c r="C14" s="340"/>
      <c r="D14" s="340"/>
      <c r="E14" s="340"/>
      <c r="F14" s="340">
        <v>1</v>
      </c>
      <c r="G14" s="340">
        <v>1</v>
      </c>
      <c r="H14" s="340">
        <v>2500</v>
      </c>
      <c r="I14" s="340">
        <v>12</v>
      </c>
      <c r="J14" s="340">
        <f t="shared" si="0"/>
        <v>0.3</v>
      </c>
      <c r="K14" s="482"/>
    </row>
    <row r="15" spans="1:11" ht="12.75" customHeight="1">
      <c r="A15" s="485"/>
      <c r="B15" s="266" t="s">
        <v>367</v>
      </c>
      <c r="C15" s="340"/>
      <c r="D15" s="340"/>
      <c r="E15" s="340"/>
      <c r="F15" s="340">
        <v>1</v>
      </c>
      <c r="G15" s="340">
        <v>1</v>
      </c>
      <c r="H15" s="340">
        <v>2500</v>
      </c>
      <c r="I15" s="340">
        <v>12</v>
      </c>
      <c r="J15" s="340">
        <f t="shared" si="0"/>
        <v>0.3</v>
      </c>
      <c r="K15" s="482"/>
    </row>
    <row r="16" spans="1:11" ht="12.75" customHeight="1">
      <c r="A16" s="485"/>
      <c r="B16" s="261" t="s">
        <v>368</v>
      </c>
      <c r="C16" s="340"/>
      <c r="D16" s="340"/>
      <c r="E16" s="340"/>
      <c r="F16" s="340">
        <v>1</v>
      </c>
      <c r="G16" s="340">
        <v>1</v>
      </c>
      <c r="H16" s="340">
        <v>2500</v>
      </c>
      <c r="I16" s="340">
        <v>12</v>
      </c>
      <c r="J16" s="340">
        <f t="shared" si="0"/>
        <v>0.3</v>
      </c>
      <c r="K16" s="482"/>
    </row>
    <row r="17" spans="1:11" ht="15">
      <c r="A17" s="486"/>
      <c r="B17" s="262" t="s">
        <v>369</v>
      </c>
      <c r="C17" s="340"/>
      <c r="D17" s="340"/>
      <c r="E17" s="340"/>
      <c r="F17" s="340">
        <v>1</v>
      </c>
      <c r="G17" s="340">
        <v>1</v>
      </c>
      <c r="H17" s="340">
        <v>2500</v>
      </c>
      <c r="I17" s="340">
        <v>12</v>
      </c>
      <c r="J17" s="340">
        <f t="shared" si="0"/>
        <v>0.3</v>
      </c>
      <c r="K17" s="482"/>
    </row>
    <row r="18" spans="1:11" ht="15">
      <c r="A18" s="366"/>
      <c r="B18" s="262" t="s">
        <v>409</v>
      </c>
      <c r="C18" s="340"/>
      <c r="D18" s="340"/>
      <c r="E18" s="340"/>
      <c r="F18" s="340"/>
      <c r="G18" s="340"/>
      <c r="H18" s="340"/>
      <c r="I18" s="340"/>
      <c r="J18" s="340">
        <f>SUM(J7:J17)</f>
        <v>3.1799999999999997</v>
      </c>
      <c r="K18" s="482"/>
    </row>
    <row r="19" spans="1:11">
      <c r="A19" s="340">
        <v>3</v>
      </c>
      <c r="B19" s="267" t="s">
        <v>207</v>
      </c>
      <c r="C19" s="340">
        <v>0</v>
      </c>
      <c r="D19" s="260"/>
      <c r="E19" s="260"/>
      <c r="F19" s="340">
        <v>0</v>
      </c>
      <c r="G19" s="340">
        <v>0</v>
      </c>
      <c r="H19" s="340">
        <v>0</v>
      </c>
      <c r="I19" s="340">
        <v>0</v>
      </c>
      <c r="J19" s="224">
        <v>0</v>
      </c>
      <c r="K19" s="482"/>
    </row>
    <row r="20" spans="1:11">
      <c r="A20" s="340">
        <v>4</v>
      </c>
      <c r="B20" s="267" t="s">
        <v>208</v>
      </c>
      <c r="C20" s="340">
        <v>0</v>
      </c>
      <c r="D20" s="340"/>
      <c r="E20" s="340"/>
      <c r="F20" s="340">
        <v>9</v>
      </c>
      <c r="G20" s="340">
        <v>9</v>
      </c>
      <c r="H20" s="340">
        <v>1500</v>
      </c>
      <c r="I20" s="340">
        <v>12</v>
      </c>
      <c r="J20" s="224">
        <f>H20*12/100000</f>
        <v>0.18</v>
      </c>
      <c r="K20" s="483"/>
    </row>
    <row r="21" spans="1:11">
      <c r="A21" s="367" t="s">
        <v>86</v>
      </c>
      <c r="B21" s="367"/>
      <c r="C21" s="59">
        <f>SUM(C7:C20)</f>
        <v>0</v>
      </c>
      <c r="D21" s="59">
        <f>SUM(D7:D20)</f>
        <v>0</v>
      </c>
      <c r="E21" s="59">
        <f>SUM(E7:E20)</f>
        <v>0</v>
      </c>
      <c r="F21" s="59">
        <f>SUM(F7:F20)</f>
        <v>19</v>
      </c>
      <c r="G21" s="59">
        <f>SUM(G7:G20)</f>
        <v>20</v>
      </c>
      <c r="H21" s="199"/>
      <c r="I21" s="199"/>
      <c r="J21" s="59">
        <f>J18+J20</f>
        <v>3.36</v>
      </c>
      <c r="K21" s="200"/>
    </row>
    <row r="22" spans="1:11">
      <c r="A22" s="78"/>
      <c r="B22" s="78" t="s">
        <v>430</v>
      </c>
      <c r="C22" s="108"/>
      <c r="D22" s="108"/>
      <c r="E22" s="108"/>
      <c r="F22" s="108"/>
      <c r="G22" s="108"/>
      <c r="H22" s="108"/>
      <c r="I22" s="108"/>
      <c r="J22" s="108"/>
      <c r="K22" s="375"/>
    </row>
    <row r="23" spans="1:11" s="94" customFormat="1" ht="76.5">
      <c r="A23" s="109">
        <v>1</v>
      </c>
      <c r="B23" s="254" t="s">
        <v>386</v>
      </c>
      <c r="C23" s="235">
        <v>1</v>
      </c>
      <c r="D23" s="235">
        <v>0</v>
      </c>
      <c r="E23" s="235">
        <v>1</v>
      </c>
      <c r="F23" s="235">
        <v>0</v>
      </c>
      <c r="G23" s="235">
        <v>0</v>
      </c>
      <c r="H23" s="235">
        <v>0</v>
      </c>
      <c r="I23" s="235">
        <v>0</v>
      </c>
      <c r="J23" s="235">
        <v>2.5</v>
      </c>
      <c r="K23" s="42" t="s">
        <v>393</v>
      </c>
    </row>
    <row r="24" spans="1:11" ht="15">
      <c r="A24" s="105"/>
      <c r="B24" s="105"/>
      <c r="C24" s="48"/>
      <c r="D24" s="48"/>
      <c r="E24" s="48"/>
      <c r="F24" s="48"/>
      <c r="G24" s="48"/>
      <c r="H24" s="48"/>
      <c r="I24" s="48"/>
      <c r="J24" s="48"/>
      <c r="K24" s="48"/>
    </row>
    <row r="25" spans="1:11">
      <c r="A25" s="367" t="s">
        <v>86</v>
      </c>
      <c r="B25" s="367"/>
      <c r="C25" s="59">
        <f>SUM(C23:C24)</f>
        <v>1</v>
      </c>
      <c r="D25" s="59">
        <f>SUM(D23:D24)</f>
        <v>0</v>
      </c>
      <c r="E25" s="59">
        <f>SUM(E23:E24)</f>
        <v>1</v>
      </c>
      <c r="F25" s="59">
        <f>SUM(F23:F24)</f>
        <v>0</v>
      </c>
      <c r="G25" s="59">
        <f>SUM(G23:G24)</f>
        <v>0</v>
      </c>
      <c r="H25" s="199"/>
      <c r="I25" s="199"/>
      <c r="J25" s="59">
        <f>SUM(J23:J24)</f>
        <v>2.5</v>
      </c>
      <c r="K25" s="200"/>
    </row>
  </sheetData>
  <mergeCells count="8">
    <mergeCell ref="K7:K20"/>
    <mergeCell ref="A8:A17"/>
    <mergeCell ref="K3:K4"/>
    <mergeCell ref="A2:J2"/>
    <mergeCell ref="A3:A4"/>
    <mergeCell ref="B3:B4"/>
    <mergeCell ref="C3:E3"/>
    <mergeCell ref="F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D4" sqref="D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02" t="s">
        <v>96</v>
      </c>
      <c r="B1" s="402"/>
      <c r="C1" s="402"/>
      <c r="D1" s="402"/>
    </row>
    <row r="2" spans="1:5" ht="44.25" customHeight="1">
      <c r="A2" s="403" t="s">
        <v>0</v>
      </c>
      <c r="B2" s="403"/>
      <c r="C2" s="61" t="s">
        <v>87</v>
      </c>
      <c r="D2" s="15" t="s">
        <v>88</v>
      </c>
      <c r="E2" s="15" t="s">
        <v>89</v>
      </c>
    </row>
    <row r="3" spans="1:5">
      <c r="A3" s="401">
        <v>4</v>
      </c>
      <c r="B3" s="401"/>
      <c r="C3" s="16" t="s">
        <v>209</v>
      </c>
      <c r="D3" s="17"/>
      <c r="E3" s="18"/>
    </row>
    <row r="4" spans="1:5" ht="182.25" customHeight="1">
      <c r="A4" s="18"/>
      <c r="B4" s="19" t="s">
        <v>14</v>
      </c>
      <c r="C4" s="23" t="s">
        <v>210</v>
      </c>
      <c r="D4" s="111" t="s">
        <v>211</v>
      </c>
      <c r="E4" s="111" t="s">
        <v>212</v>
      </c>
    </row>
    <row r="5" spans="1:5" ht="42" customHeight="1">
      <c r="A5" s="18"/>
      <c r="B5" s="19" t="s">
        <v>15</v>
      </c>
      <c r="C5" s="23" t="s">
        <v>213</v>
      </c>
      <c r="D5" s="21"/>
      <c r="E5" s="21" t="s">
        <v>214</v>
      </c>
    </row>
    <row r="6" spans="1:5" ht="37.5" customHeight="1">
      <c r="A6" s="18"/>
      <c r="B6" s="19" t="s">
        <v>16</v>
      </c>
      <c r="C6" s="23" t="s">
        <v>215</v>
      </c>
      <c r="D6" s="21"/>
      <c r="E6" s="21" t="s">
        <v>216</v>
      </c>
    </row>
  </sheetData>
  <mergeCells count="3">
    <mergeCell ref="A1:D1"/>
    <mergeCell ref="A2:B2"/>
    <mergeCell ref="A3:B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6"/>
  <sheetViews>
    <sheetView showGridLines="0" tabSelected="1" zoomScaleNormal="100" workbookViewId="0">
      <selection activeCell="P11" sqref="P11"/>
    </sheetView>
  </sheetViews>
  <sheetFormatPr defaultColWidth="9.140625" defaultRowHeight="12.75"/>
  <cols>
    <col min="1" max="1" width="8.85546875" style="30" customWidth="1"/>
    <col min="2" max="2" width="17.85546875" style="30" customWidth="1"/>
    <col min="3" max="4" width="11.7109375" style="30" customWidth="1"/>
    <col min="5" max="7" width="12" style="30" customWidth="1"/>
    <col min="8" max="8" width="11.85546875" style="30" customWidth="1"/>
    <col min="9" max="9" width="14.5703125" style="30" customWidth="1"/>
    <col min="10" max="10" width="12.28515625" style="30" customWidth="1"/>
    <col min="11" max="12" width="15.5703125" style="30" customWidth="1"/>
    <col min="13" max="13" width="28.7109375" style="30" customWidth="1"/>
    <col min="14" max="16384" width="9.140625" style="30"/>
  </cols>
  <sheetData>
    <row r="1" spans="1:15" customFormat="1" ht="30" customHeight="1">
      <c r="A1" s="488" t="s">
        <v>408</v>
      </c>
      <c r="B1" s="488"/>
      <c r="C1" s="488"/>
      <c r="D1" s="488"/>
      <c r="E1" s="488"/>
      <c r="F1" s="488"/>
      <c r="G1" s="488"/>
      <c r="H1" s="488"/>
      <c r="I1" s="488"/>
      <c r="J1" s="488"/>
      <c r="K1" s="488"/>
      <c r="L1" s="488"/>
      <c r="M1" s="488"/>
    </row>
    <row r="2" spans="1:15" customFormat="1" ht="15" customHeight="1">
      <c r="A2" s="426" t="s">
        <v>358</v>
      </c>
      <c r="B2" s="426"/>
      <c r="C2" s="426"/>
      <c r="D2" s="426"/>
      <c r="E2" s="426"/>
      <c r="F2" s="426"/>
      <c r="G2" s="426"/>
      <c r="H2" s="426"/>
      <c r="I2" s="426"/>
      <c r="J2" s="426"/>
      <c r="K2" s="112"/>
      <c r="L2" s="197"/>
      <c r="M2" s="198"/>
    </row>
    <row r="3" spans="1:15" s="115" customFormat="1" ht="15" customHeight="1">
      <c r="A3" s="491" t="s">
        <v>217</v>
      </c>
      <c r="B3" s="491" t="s">
        <v>184</v>
      </c>
      <c r="C3" s="492" t="s">
        <v>136</v>
      </c>
      <c r="D3" s="493"/>
      <c r="E3" s="493"/>
      <c r="F3" s="493"/>
      <c r="G3" s="494"/>
      <c r="H3" s="492" t="s">
        <v>134</v>
      </c>
      <c r="I3" s="493"/>
      <c r="J3" s="493"/>
      <c r="K3" s="493"/>
      <c r="L3" s="114"/>
      <c r="M3" s="489" t="s">
        <v>118</v>
      </c>
    </row>
    <row r="4" spans="1:15" s="2" customFormat="1" ht="89.25" customHeight="1">
      <c r="A4" s="491"/>
      <c r="B4" s="491"/>
      <c r="C4" s="116" t="s">
        <v>218</v>
      </c>
      <c r="D4" s="116" t="s">
        <v>219</v>
      </c>
      <c r="E4" s="26" t="s">
        <v>122</v>
      </c>
      <c r="F4" s="26" t="s">
        <v>123</v>
      </c>
      <c r="G4" s="26" t="s">
        <v>124</v>
      </c>
      <c r="H4" s="116" t="s">
        <v>220</v>
      </c>
      <c r="I4" s="116" t="s">
        <v>221</v>
      </c>
      <c r="J4" s="116" t="s">
        <v>222</v>
      </c>
      <c r="K4" s="116" t="s">
        <v>204</v>
      </c>
      <c r="L4" s="116" t="s">
        <v>223</v>
      </c>
      <c r="M4" s="490"/>
    </row>
    <row r="5" spans="1:15" s="2" customFormat="1" ht="15">
      <c r="A5" s="117"/>
      <c r="B5" s="117"/>
      <c r="C5" s="117"/>
      <c r="D5" s="117"/>
      <c r="E5" s="118"/>
      <c r="F5" s="118"/>
      <c r="G5" s="118"/>
      <c r="H5" s="119"/>
      <c r="I5" s="119" t="s">
        <v>14</v>
      </c>
      <c r="J5" s="119" t="s">
        <v>15</v>
      </c>
      <c r="K5" s="118" t="s">
        <v>224</v>
      </c>
      <c r="L5" s="119"/>
      <c r="M5" s="119"/>
    </row>
    <row r="6" spans="1:15" ht="105">
      <c r="A6" s="120"/>
      <c r="B6" s="121" t="s">
        <v>138</v>
      </c>
      <c r="C6" s="120"/>
      <c r="D6" s="105"/>
      <c r="E6" s="48"/>
      <c r="F6" s="48"/>
      <c r="G6" s="48"/>
      <c r="H6" s="48"/>
      <c r="I6" s="48"/>
      <c r="J6" s="48"/>
      <c r="K6" s="319"/>
      <c r="L6" s="48"/>
      <c r="M6" s="48"/>
      <c r="N6" s="336"/>
    </row>
    <row r="7" spans="1:15" ht="31.5" customHeight="1">
      <c r="A7" s="120">
        <v>1</v>
      </c>
      <c r="B7" s="64" t="s">
        <v>361</v>
      </c>
      <c r="C7" s="329">
        <v>229</v>
      </c>
      <c r="D7" s="110"/>
      <c r="E7" s="495">
        <v>2.94</v>
      </c>
      <c r="F7" s="495">
        <v>2.94</v>
      </c>
      <c r="G7" s="495">
        <v>0</v>
      </c>
      <c r="H7" s="340">
        <v>5133</v>
      </c>
      <c r="I7" s="340">
        <v>94</v>
      </c>
      <c r="J7" s="340">
        <v>248</v>
      </c>
      <c r="K7" s="320">
        <f>I7*J7/100000</f>
        <v>0.23311999999999999</v>
      </c>
      <c r="L7" s="340" t="s">
        <v>377</v>
      </c>
      <c r="M7" s="429" t="s">
        <v>453</v>
      </c>
      <c r="N7" s="337"/>
    </row>
    <row r="8" spans="1:15" ht="31.5" customHeight="1">
      <c r="A8" s="120">
        <v>2</v>
      </c>
      <c r="B8" s="268" t="s">
        <v>362</v>
      </c>
      <c r="C8" s="329">
        <v>164</v>
      </c>
      <c r="D8" s="110"/>
      <c r="E8" s="496"/>
      <c r="F8" s="496"/>
      <c r="G8" s="496"/>
      <c r="H8" s="340">
        <v>3711</v>
      </c>
      <c r="I8" s="340">
        <v>68</v>
      </c>
      <c r="J8" s="340">
        <v>248</v>
      </c>
      <c r="K8" s="320">
        <f t="shared" ref="K8:K15" si="0">I8*J8/100000</f>
        <v>0.16864000000000001</v>
      </c>
      <c r="L8" s="340" t="s">
        <v>377</v>
      </c>
      <c r="M8" s="430"/>
      <c r="N8" s="337"/>
    </row>
    <row r="9" spans="1:15" ht="31.5" customHeight="1">
      <c r="A9" s="120">
        <v>3</v>
      </c>
      <c r="B9" s="268" t="s">
        <v>363</v>
      </c>
      <c r="C9" s="329">
        <v>114</v>
      </c>
      <c r="D9" s="110"/>
      <c r="E9" s="496"/>
      <c r="F9" s="496"/>
      <c r="G9" s="496"/>
      <c r="H9" s="340">
        <v>2503</v>
      </c>
      <c r="I9" s="340">
        <v>46</v>
      </c>
      <c r="J9" s="340">
        <v>248</v>
      </c>
      <c r="K9" s="320">
        <f t="shared" si="0"/>
        <v>0.11408</v>
      </c>
      <c r="L9" s="340" t="s">
        <v>377</v>
      </c>
      <c r="M9" s="430"/>
      <c r="N9" s="337"/>
    </row>
    <row r="10" spans="1:15" ht="31.5" customHeight="1">
      <c r="A10" s="120">
        <v>4</v>
      </c>
      <c r="B10" s="64" t="s">
        <v>364</v>
      </c>
      <c r="C10" s="329">
        <v>80</v>
      </c>
      <c r="D10" s="110"/>
      <c r="E10" s="496"/>
      <c r="F10" s="496"/>
      <c r="G10" s="496"/>
      <c r="H10" s="340">
        <v>1814</v>
      </c>
      <c r="I10" s="340">
        <v>30</v>
      </c>
      <c r="J10" s="340">
        <v>248</v>
      </c>
      <c r="K10" s="320">
        <f t="shared" si="0"/>
        <v>7.4399999999999994E-2</v>
      </c>
      <c r="L10" s="340" t="s">
        <v>377</v>
      </c>
      <c r="M10" s="430"/>
      <c r="N10" s="337"/>
    </row>
    <row r="11" spans="1:15" ht="31.5" customHeight="1">
      <c r="A11" s="120">
        <v>5</v>
      </c>
      <c r="B11" s="269" t="s">
        <v>365</v>
      </c>
      <c r="C11" s="329">
        <v>124</v>
      </c>
      <c r="D11" s="110"/>
      <c r="E11" s="496"/>
      <c r="F11" s="496"/>
      <c r="G11" s="496"/>
      <c r="H11" s="340">
        <v>2850</v>
      </c>
      <c r="I11" s="340">
        <v>50</v>
      </c>
      <c r="J11" s="340">
        <v>248</v>
      </c>
      <c r="K11" s="320">
        <f t="shared" si="0"/>
        <v>0.124</v>
      </c>
      <c r="L11" s="340" t="s">
        <v>377</v>
      </c>
      <c r="M11" s="430"/>
      <c r="N11" s="337"/>
    </row>
    <row r="12" spans="1:15" ht="31.5" customHeight="1">
      <c r="A12" s="120">
        <v>6</v>
      </c>
      <c r="B12" s="269" t="s">
        <v>366</v>
      </c>
      <c r="C12" s="329">
        <v>137</v>
      </c>
      <c r="D12" s="110"/>
      <c r="E12" s="496"/>
      <c r="F12" s="496"/>
      <c r="G12" s="496"/>
      <c r="H12" s="340">
        <v>3045</v>
      </c>
      <c r="I12" s="340">
        <v>54</v>
      </c>
      <c r="J12" s="340">
        <v>248</v>
      </c>
      <c r="K12" s="320">
        <f t="shared" si="0"/>
        <v>0.13392000000000001</v>
      </c>
      <c r="L12" s="340" t="s">
        <v>377</v>
      </c>
      <c r="M12" s="430"/>
      <c r="N12" s="337"/>
    </row>
    <row r="13" spans="1:15" ht="31.5" customHeight="1">
      <c r="A13" s="120">
        <v>7</v>
      </c>
      <c r="B13" s="269" t="s">
        <v>367</v>
      </c>
      <c r="C13" s="329">
        <v>76</v>
      </c>
      <c r="D13" s="110"/>
      <c r="E13" s="496"/>
      <c r="F13" s="496"/>
      <c r="G13" s="496"/>
      <c r="H13" s="340">
        <v>1754</v>
      </c>
      <c r="I13" s="340">
        <v>30</v>
      </c>
      <c r="J13" s="340">
        <v>248</v>
      </c>
      <c r="K13" s="320">
        <f t="shared" si="0"/>
        <v>7.4399999999999994E-2</v>
      </c>
      <c r="L13" s="340" t="s">
        <v>377</v>
      </c>
      <c r="M13" s="430"/>
      <c r="N13" s="337"/>
    </row>
    <row r="14" spans="1:15" s="94" customFormat="1" ht="31.5" customHeight="1">
      <c r="A14" s="120">
        <v>8</v>
      </c>
      <c r="B14" s="64" t="s">
        <v>368</v>
      </c>
      <c r="C14" s="235">
        <v>52</v>
      </c>
      <c r="D14" s="110"/>
      <c r="E14" s="496"/>
      <c r="F14" s="496"/>
      <c r="G14" s="496"/>
      <c r="H14" s="340">
        <v>1140</v>
      </c>
      <c r="I14" s="340">
        <v>24</v>
      </c>
      <c r="J14" s="340">
        <v>248</v>
      </c>
      <c r="K14" s="320">
        <f t="shared" si="0"/>
        <v>5.9520000000000003E-2</v>
      </c>
      <c r="L14" s="340" t="s">
        <v>377</v>
      </c>
      <c r="M14" s="430"/>
      <c r="N14" s="337"/>
      <c r="O14" s="30"/>
    </row>
    <row r="15" spans="1:15" ht="31.5" customHeight="1">
      <c r="A15" s="120">
        <v>9</v>
      </c>
      <c r="B15" s="122" t="s">
        <v>369</v>
      </c>
      <c r="C15" s="329">
        <v>56</v>
      </c>
      <c r="D15" s="110"/>
      <c r="E15" s="497"/>
      <c r="F15" s="497"/>
      <c r="G15" s="497"/>
      <c r="H15" s="340">
        <v>1246</v>
      </c>
      <c r="I15" s="235">
        <v>24</v>
      </c>
      <c r="J15" s="340">
        <v>248</v>
      </c>
      <c r="K15" s="320">
        <f t="shared" si="0"/>
        <v>5.9520000000000003E-2</v>
      </c>
      <c r="L15" s="340" t="s">
        <v>377</v>
      </c>
      <c r="M15" s="431"/>
      <c r="N15" s="337"/>
    </row>
    <row r="16" spans="1:15" ht="15">
      <c r="A16" s="252"/>
      <c r="B16" s="252" t="s">
        <v>86</v>
      </c>
      <c r="C16" s="329">
        <f>SUM(C7:C15)</f>
        <v>1032</v>
      </c>
      <c r="D16" s="189"/>
      <c r="E16" s="189">
        <f>SUM(E7:E15)</f>
        <v>2.94</v>
      </c>
      <c r="F16" s="189">
        <f>SUM(F7:F15)</f>
        <v>2.94</v>
      </c>
      <c r="G16" s="189">
        <f>SUM(G7:G15)</f>
        <v>0</v>
      </c>
      <c r="H16" s="294">
        <f>SUM(H7:H15)</f>
        <v>23196</v>
      </c>
      <c r="I16" s="189">
        <f>SUM(I6:I15)</f>
        <v>420</v>
      </c>
      <c r="J16" s="252"/>
      <c r="K16" s="233">
        <f>SUM(K6:K15)</f>
        <v>1.0416000000000001</v>
      </c>
      <c r="L16" s="252"/>
      <c r="M16" s="252"/>
      <c r="N16" s="338"/>
    </row>
  </sheetData>
  <mergeCells count="11">
    <mergeCell ref="A1:M1"/>
    <mergeCell ref="M7:M15"/>
    <mergeCell ref="M3:M4"/>
    <mergeCell ref="A2:J2"/>
    <mergeCell ref="A3:A4"/>
    <mergeCell ref="B3:B4"/>
    <mergeCell ref="C3:G3"/>
    <mergeCell ref="H3:K3"/>
    <mergeCell ref="E7:E15"/>
    <mergeCell ref="F7:F15"/>
    <mergeCell ref="G7:G15"/>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vt:i4>
      </vt:variant>
    </vt:vector>
  </HeadingPairs>
  <TitlesOfParts>
    <vt:vector size="29" baseType="lpstr">
      <vt:lpstr>1.a,b,c-PIP Norms</vt:lpstr>
      <vt:lpstr>HR-Stat Ass M&amp;E</vt:lpstr>
      <vt:lpstr>HR-DEO</vt:lpstr>
      <vt:lpstr>2-3.a,b,c,d,e-PIP Norms</vt:lpstr>
      <vt:lpstr>Comp</vt:lpstr>
      <vt:lpstr>VSAT</vt:lpstr>
      <vt:lpstr>Internet</vt:lpstr>
      <vt:lpstr>4.a.b.c-PIP Norms</vt:lpstr>
      <vt:lpstr>Printing of RCH Reg</vt:lpstr>
      <vt:lpstr>RCH-Manual</vt:lpstr>
      <vt:lpstr>Printing of MCTS Format</vt:lpstr>
      <vt:lpstr>Printing HMIS</vt:lpstr>
      <vt:lpstr>5.a.b.c-PIP Norms</vt:lpstr>
      <vt:lpstr>Training-State Level</vt:lpstr>
      <vt:lpstr>Training-District Level</vt:lpstr>
      <vt:lpstr>Training-Block Level</vt:lpstr>
      <vt:lpstr>6.-PIP Norms</vt:lpstr>
      <vt:lpstr>Mobility Support</vt:lpstr>
      <vt:lpstr>7.a,b-PIP Norms</vt:lpstr>
      <vt:lpstr>CallCentre-Outsourc</vt:lpstr>
      <vt:lpstr>CallCentre-Inhouse</vt:lpstr>
      <vt:lpstr>8.b-PIP Norms</vt:lpstr>
      <vt:lpstr>CUG</vt:lpstr>
      <vt:lpstr>State Level</vt:lpstr>
      <vt:lpstr>District Level</vt:lpstr>
      <vt:lpstr>Block level</vt:lpstr>
      <vt:lpstr>Civil registration</vt:lpstr>
      <vt:lpstr>Sheet1</vt:lpstr>
      <vt:lpstr>'Printing HMIS'!Print_Area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User</cp:lastModifiedBy>
  <cp:lastPrinted>2015-02-13T05:36:56Z</cp:lastPrinted>
  <dcterms:created xsi:type="dcterms:W3CDTF">2015-02-13T05:03:28Z</dcterms:created>
  <dcterms:modified xsi:type="dcterms:W3CDTF">2021-01-22T05:39:16Z</dcterms:modified>
</cp:coreProperties>
</file>